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ucyna\dobudowy, remonty\PRZETARG_DOTACJA\ZADANIE NR 4 _wodociąg ul. REKUCKIEGO\"/>
    </mc:Choice>
  </mc:AlternateContent>
  <xr:revisionPtr revIDLastSave="0" documentId="13_ncr:1_{411F00D3-E5F6-4F16-B930-5559D85FB97C}" xr6:coauthVersionLast="47" xr6:coauthVersionMax="47" xr10:uidLastSave="{00000000-0000-0000-0000-000000000000}"/>
  <bookViews>
    <workbookView xWindow="-120" yWindow="-120" windowWidth="29040" windowHeight="15990" autoFilterDateGrouping="0" xr2:uid="{28AF91D9-799D-428B-ABC7-84C6385C5D48}"/>
  </bookViews>
  <sheets>
    <sheet name="Przedmiar" sheetId="1" r:id="rId1"/>
    <sheet name="Arkusz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77" i="1"/>
  <c r="H76" i="1"/>
  <c r="H75" i="1"/>
  <c r="H74" i="1"/>
  <c r="H72" i="1"/>
  <c r="H71" i="1"/>
  <c r="H67" i="1"/>
  <c r="H50" i="1"/>
  <c r="H49" i="1"/>
  <c r="H48" i="1"/>
  <c r="H41" i="1"/>
  <c r="H39" i="1"/>
  <c r="H38" i="1"/>
  <c r="H36" i="1"/>
  <c r="H35" i="1"/>
  <c r="H34" i="1"/>
  <c r="H33" i="1"/>
  <c r="H32" i="1"/>
  <c r="H31" i="1"/>
  <c r="H30" i="1"/>
  <c r="H29" i="1"/>
  <c r="H28" i="1"/>
  <c r="H27" i="1"/>
  <c r="H18" i="1"/>
  <c r="E18" i="1"/>
  <c r="E9" i="1"/>
  <c r="H9" i="1" s="1"/>
  <c r="E8" i="1"/>
  <c r="H8" i="1" s="1"/>
  <c r="E40" i="1" l="1"/>
  <c r="H40" i="1" s="1"/>
  <c r="E20" i="1"/>
  <c r="H20" i="1" s="1"/>
  <c r="E19" i="1"/>
  <c r="E14" i="1" l="1"/>
  <c r="H14" i="1" s="1"/>
  <c r="H19" i="1"/>
  <c r="H47" i="1"/>
  <c r="E79" i="1"/>
  <c r="H79" i="1" s="1"/>
  <c r="E78" i="1"/>
  <c r="H78" i="1" s="1"/>
  <c r="E73" i="1"/>
  <c r="H73" i="1" s="1"/>
  <c r="E68" i="1"/>
  <c r="H68" i="1" s="1"/>
  <c r="E64" i="1"/>
  <c r="H64" i="1" s="1"/>
  <c r="E63" i="1"/>
  <c r="H63" i="1" s="1"/>
  <c r="E57" i="1"/>
  <c r="E26" i="1"/>
  <c r="H26" i="1" s="1"/>
  <c r="E23" i="1"/>
  <c r="E37" i="1"/>
  <c r="H37" i="1" s="1"/>
  <c r="H57" i="1" l="1"/>
  <c r="H56" i="1" s="1"/>
  <c r="E24" i="1"/>
  <c r="H24" i="1" s="1"/>
  <c r="H23" i="1"/>
  <c r="E59" i="1"/>
  <c r="H59" i="1" s="1"/>
  <c r="E80" i="1"/>
  <c r="H80" i="1" s="1"/>
  <c r="E69" i="1"/>
  <c r="H69" i="1" s="1"/>
  <c r="H25" i="1"/>
  <c r="E15" i="1"/>
  <c r="H15" i="1" s="1"/>
  <c r="E7" i="1"/>
  <c r="H7" i="1" s="1"/>
  <c r="E61" i="1" l="1"/>
  <c r="H61" i="1" s="1"/>
  <c r="E60" i="1"/>
  <c r="H70" i="1"/>
  <c r="E43" i="1"/>
  <c r="H43" i="1" s="1"/>
  <c r="E10" i="1"/>
  <c r="H10" i="1" s="1"/>
  <c r="E62" i="1" l="1"/>
  <c r="H62" i="1" s="1"/>
  <c r="H60" i="1"/>
  <c r="E65" i="1"/>
  <c r="H65" i="1" s="1"/>
  <c r="E44" i="1"/>
  <c r="H44" i="1" s="1"/>
  <c r="E46" i="1"/>
  <c r="H46" i="1" s="1"/>
  <c r="E11" i="1"/>
  <c r="E45" i="1"/>
  <c r="H45" i="1" s="1"/>
  <c r="E16" i="1" l="1"/>
  <c r="H16" i="1" s="1"/>
  <c r="H11" i="1"/>
  <c r="H42" i="1"/>
  <c r="E66" i="1"/>
  <c r="H66" i="1" s="1"/>
  <c r="E12" i="1"/>
  <c r="E17" i="1" l="1"/>
  <c r="H12" i="1"/>
  <c r="H58" i="1"/>
  <c r="H81" i="1" s="1"/>
  <c r="H82" i="1" s="1"/>
  <c r="H83" i="1" s="1"/>
  <c r="E21" i="1" l="1"/>
  <c r="H21" i="1" s="1"/>
  <c r="H17" i="1"/>
  <c r="E22" i="1"/>
  <c r="H13" i="1" l="1"/>
  <c r="H51" i="1" s="1"/>
  <c r="H22" i="1"/>
  <c r="H52" i="1" l="1"/>
  <c r="H53" i="1" s="1"/>
  <c r="H85" i="1"/>
  <c r="H86" i="1" l="1"/>
  <c r="H87" i="1" s="1"/>
</calcChain>
</file>

<file path=xl/sharedStrings.xml><?xml version="1.0" encoding="utf-8"?>
<sst xmlns="http://schemas.openxmlformats.org/spreadsheetml/2006/main" count="292" uniqueCount="174">
  <si>
    <t>Podstawa</t>
  </si>
  <si>
    <t>Opis</t>
  </si>
  <si>
    <t>Jedn.</t>
  </si>
  <si>
    <t>Ilość</t>
  </si>
  <si>
    <t>Krotn.</t>
  </si>
  <si>
    <t>1</t>
  </si>
  <si>
    <t>Element</t>
  </si>
  <si>
    <t>1.1</t>
  </si>
  <si>
    <t>Roboty rozbiórkowe SST 0.00,  SST 1.1</t>
  </si>
  <si>
    <t>KNNR 1/111/2</t>
  </si>
  <si>
    <t>km</t>
  </si>
  <si>
    <t>Roboty pomiarowe przy liniowych robotach ziemnych, trasa dróg w terenie pagórkowatym lub górskim</t>
  </si>
  <si>
    <t>KNNR 5/721/1</t>
  </si>
  <si>
    <t>m</t>
  </si>
  <si>
    <t>Cięcie nawierzchni mechanicznie, z mas mineralno-asfaltowych, głębokość 5·cm</t>
  </si>
  <si>
    <t>KNNR 6/801/2</t>
  </si>
  <si>
    <t>m2</t>
  </si>
  <si>
    <t>Rozebranie podbudowy, z kruszywa, grubość 15·cm, mechanicznie</t>
  </si>
  <si>
    <t>KNNR 6/801/8</t>
  </si>
  <si>
    <t>Rozebranie podbudowy, z mas mineralno-bitumicznych, grubość 8·cm, mechanicznie</t>
  </si>
  <si>
    <t>KNR 404/1103/4</t>
  </si>
  <si>
    <t>m3</t>
  </si>
  <si>
    <t>Wywiezienie gruzu z terenu rozbiórki przy mechanicznym załadowaniu i wyładowaniu, transport samochodem samowyładowczym na odległość 1 km</t>
  </si>
  <si>
    <t>KNR 404/1103/5</t>
  </si>
  <si>
    <t>Wywiezienie gruzu z terenu rozbiórki przy mechanicznym załadowaniu i wyładowaniu, nakłądy uzupełniające na każdy dalszy rozpoczęty 1·km ponad 1·km transportu do 3-ch km, krotność 2</t>
  </si>
  <si>
    <t>1.2</t>
  </si>
  <si>
    <t>Roboty ziemne SST 0.00, SST 2.00</t>
  </si>
  <si>
    <t>KNNR 1/210/3 (1)</t>
  </si>
  <si>
    <t>Wykopy oraz przekopy wykonywane na odkład koparkami podsiębiernymi, koparka 0,25-0,60, głębokość do 3·m, kategoria gruntu III-IV 80%</t>
  </si>
  <si>
    <t>KNNR 1/307/4</t>
  </si>
  <si>
    <t>Wykopy liniowe szerokości 0,8-2,5·m o ścianach pionowych z ręcznym wydobyciem urobku w gruntach suchych, głębokości do 3,0·m, kategoria gruntu III-IV 20%</t>
  </si>
  <si>
    <t>KNNR 1/313/1</t>
  </si>
  <si>
    <t>Umocnienie ścian wykopów wraz z rozbiórką palami szalunkowymi stalowymi (wypraskami) w gruntach suchych, szerokość do 1·m, umocnienie pełne w gruncie kategorii I-IV, głębokość do 3·m</t>
  </si>
  <si>
    <t>KNNR 1/214/2 (1)</t>
  </si>
  <si>
    <t>Zasypanie wykopów fundamentowych podłużnych, punktowych, rowów, wykopów obiektowych, spycharki, grubość w stanie luźnym 30·cm, kategoria gruntu III-IV</t>
  </si>
  <si>
    <t>KNR 201/236/1</t>
  </si>
  <si>
    <t>Zagęszczanie nasypów, ubijakami mechanicznymi, grunt sypki kategorii I-III</t>
  </si>
  <si>
    <t>Kalkulacja indywidualna</t>
  </si>
  <si>
    <t>kpl.</t>
  </si>
  <si>
    <t>1.3</t>
  </si>
  <si>
    <t>Roboty montażowe inżynieryjne SST 0.00,SST 3.00</t>
  </si>
  <si>
    <t>KNNR 4/1112/3 (2)</t>
  </si>
  <si>
    <t>kpl</t>
  </si>
  <si>
    <t>Zasuwa typu "E" kołnierzowa z obudową montowana na rurociągach PVC i PE, Fi·150·mm</t>
  </si>
  <si>
    <t>KNR 228/305/3 (1)</t>
  </si>
  <si>
    <t>szt</t>
  </si>
  <si>
    <t>KNR 228/305/4 (1)</t>
  </si>
  <si>
    <t>Kształtki PE na rurociągach PE, Fi·160·mm, analogia tuleja kołnierzowa do rur PE z kołnierzem stalowym</t>
  </si>
  <si>
    <t>Kształtki PE na rurociągach PE, Fi·110·mm, analogia  tuleja kołnierzowa z kołnierzem stalowym</t>
  </si>
  <si>
    <t>KNNR 4/1606/2</t>
  </si>
  <si>
    <t>próba</t>
  </si>
  <si>
    <t>Próba wodna szczelności sieci wodociągowych z rur typu HOBAS, PCW, PVC, PE, PEHD, (rurociąg 200·m) Dn·160·mm</t>
  </si>
  <si>
    <t>KNNR 4/1612/1</t>
  </si>
  <si>
    <t>odcinek</t>
  </si>
  <si>
    <t>Jednokrotne płukanie sieci wodociągowej, (rurociąg 200·m) Dn·do 150·mm</t>
  </si>
  <si>
    <t>KNNR 4/1611/1</t>
  </si>
  <si>
    <t>Dezynfekcja rurociągów sieci wodociągowej, (rurociąg 200·m) Dn·do 150·mm</t>
  </si>
  <si>
    <t>1.4</t>
  </si>
  <si>
    <t>mb</t>
  </si>
  <si>
    <t>1.5</t>
  </si>
  <si>
    <t>Roboty odtworzeniowe SST 0.00,SST 4.00</t>
  </si>
  <si>
    <t>KNNR 6/103/3 (1)</t>
  </si>
  <si>
    <t>Profilowanie i zagęszczanie podłoża pod warstwy konstrukcyjne nawierzchni, wykonywane mechanicznie, kategoria gruntu II-VI, walec wibracyjny</t>
  </si>
  <si>
    <t>KNNR 6/113/2</t>
  </si>
  <si>
    <t>Podbudowy z kruszyw łamanych, warstwa dolna, po zagęszczeniu 20·cm</t>
  </si>
  <si>
    <t>KNNR 6/308/3 (1)</t>
  </si>
  <si>
    <t>Nawierzchnie z mieszanek mineralno-bitumicznych (warstwa wiążąca), mieszanka asfaltowa, grubość po zagęszczeniu 6·cm, masa grysowa, samochód do 5·t</t>
  </si>
  <si>
    <t>KNNR 6/309/3 (1)</t>
  </si>
  <si>
    <t>Nawierzchnie z mieszanek mineralno-bitumicznych (warstwa ścieralna), mieszanka asfaltowa, grubość po zagęszczeniu 6·cm, masa grysowa, samochód do 5·t</t>
  </si>
  <si>
    <t>1.6</t>
  </si>
  <si>
    <t>Roboty towarzyszące SST 0.00</t>
  </si>
  <si>
    <t>Inwentaryzacja powykonawcza</t>
  </si>
  <si>
    <t>Projekt organizacji ruchu + koszty zajecia pasa drogowego</t>
  </si>
  <si>
    <t>Koszty pomiarów stopnia zagęszczenia gruntu</t>
  </si>
  <si>
    <t>Przedmiar robót</t>
  </si>
  <si>
    <t>Kształtki PE na rurociągach PE, Fi·160·mm, analogia redukcja 160/110</t>
  </si>
  <si>
    <t>2</t>
  </si>
  <si>
    <t>2.1</t>
  </si>
  <si>
    <t>2.2</t>
  </si>
  <si>
    <t>2.3</t>
  </si>
  <si>
    <t>2.4</t>
  </si>
  <si>
    <t>2.5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</si>
  <si>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</si>
  <si>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</si>
  <si>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</si>
  <si>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</si>
  <si>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</si>
  <si>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</si>
  <si>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</si>
  <si>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</si>
  <si>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</si>
  <si>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</si>
  <si>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4</t>
  </si>
  <si>
    <t>4.1</t>
  </si>
  <si>
    <t>4.2</t>
  </si>
  <si>
    <t>4.3</t>
  </si>
  <si>
    <t>4.4</t>
  </si>
  <si>
    <t>5</t>
  </si>
  <si>
    <t>5.1</t>
  </si>
  <si>
    <t>5.2</t>
  </si>
  <si>
    <t>5.3</t>
  </si>
  <si>
    <t>VAT 23%</t>
  </si>
  <si>
    <t>wartość brutto</t>
  </si>
  <si>
    <t>3.10</t>
  </si>
  <si>
    <t>KNNR 1/202/8 (1)</t>
  </si>
  <si>
    <t>Roboty ziemne wykonywane koparkami podsiębiernymi, z transportem urobku samochodami samowyładowczymi na odległość do 1·km, koparka 0,60 m3, kategoria  gruntu III-IV</t>
  </si>
  <si>
    <t>KNNR 1/208/1 (1)</t>
  </si>
  <si>
    <t>Nakłady uzupełniające do tablic za każdy dalszy rozpoczęty 1 km odległości transportu ponad 1 km samochodami samowyładowczymi, drogi gruntowe, kategoria  gruntu I-IV, samochód do 5·t do 3-ch km ,krotność 2</t>
  </si>
  <si>
    <t>KNNR 11/501/5 (1)</t>
  </si>
  <si>
    <t>Podłoża i obsypki z kruszyw naturalnych dowiezionych, piasek 20 cm nad rure</t>
  </si>
  <si>
    <t>KNR 201/505/1</t>
  </si>
  <si>
    <t>Plantowanie powierzchni gruntu rodzimego, ręczne, kategoria gruntu I-III</t>
  </si>
  <si>
    <t>KNR 201/510/1</t>
  </si>
  <si>
    <t>Humusowanie i obsianie skarp, przy grubości warstwy humusu 5·cm</t>
  </si>
  <si>
    <t>KNNR 4/1009/7 (1)</t>
  </si>
  <si>
    <t>Montaż rurociągów z rur polietylenowych (PE, PEHD), Fi·160·mm</t>
  </si>
  <si>
    <t>Kształtki PE na rurociągach PE, Fi·160·mm, analogia trójniki</t>
  </si>
  <si>
    <t>KNR 228/305/4 (4)</t>
  </si>
  <si>
    <t>Kształtki PE na rurociągach PE, Fi·160·mm, łuki 30°</t>
  </si>
  <si>
    <t>KNNR 4/1009/4 (1)</t>
  </si>
  <si>
    <t>Montaż rurociągów z rur polietylenowych (PE, PEHD), Fi·110·mm</t>
  </si>
  <si>
    <t>KNR 228/305/3 (7)</t>
  </si>
  <si>
    <t>Kształtki PE na rurociągach PE, Fi·110·mm, łuki 90°</t>
  </si>
  <si>
    <t>Roboty rozbiórkowe SST 0.00, SST 1.1</t>
  </si>
  <si>
    <t>Nakłady uzupełniające do tablic za każdy dalszy rozpoczęty 1 km odległości transportu ponad 1 km samochodami samowyładowczymi, drogi gruntowe, kategoria  gruntu I-IV, samochód do 5·t do 3-ch km,krotność 3</t>
  </si>
  <si>
    <t>KNNR 1/210/3 (2)</t>
  </si>
  <si>
    <t>Podłoża i obsypki z kruszyw naturalnych dowiezionych, piasek 20cm nad rurę</t>
  </si>
  <si>
    <t>Zabezpieczenie ogrodzeń podkop pod ogrodzeniami</t>
  </si>
  <si>
    <t>Roboty montażowe inżynieryjne SST 0.00, SST 3.00</t>
  </si>
  <si>
    <t>KNNR 4/1112/1 (1)</t>
  </si>
  <si>
    <t>Zasuwa typu "E" kołnierzowa z obudową montowana na rurociągach PVC i PE, FI 40 Fi·50·mm</t>
  </si>
  <si>
    <t>KNNR 4/1708/1 (1)</t>
  </si>
  <si>
    <t>KNNR 4/1011/1 (1)</t>
  </si>
  <si>
    <t>Połączenie rur polietylenowych, ciśnieniowych za pomocą kształtek elektrooporowych, kształtka PE, 63·mm</t>
  </si>
  <si>
    <t>złącze</t>
  </si>
  <si>
    <t>KNNR 4/1702/3 (1)</t>
  </si>
  <si>
    <t>Nasady rurowe (opaski) montowane na istniejących rurociągach, rurociągi Fi·150·mm, Fi·40·mm</t>
  </si>
  <si>
    <t>KNNR 4/1427/1</t>
  </si>
  <si>
    <t>Przejście przez ściany komór tulejami stalowymi "PS" przy grubości ściany 20·cm, otwór Fi·75·mm analogia</t>
  </si>
  <si>
    <t>KNR 228/315/1</t>
  </si>
  <si>
    <t>Oznakowanie trasy rurociągu tabliczkami, na murze</t>
  </si>
  <si>
    <t>KNR 219/219/1</t>
  </si>
  <si>
    <t>Oznakowanie trasy wodociagu  ułożonego w ziemi taśmą z tworzywa sztucznego   (R=  0,955, M=  1,000, S=  1,000)</t>
  </si>
  <si>
    <t>KNNR 4/1606/1</t>
  </si>
  <si>
    <t>Próba wodna szczelności sieci wodociągowych z rur typu HOBAS, PCW, PVC, PE, PEHD, (rurociąg 200·m) Dn·90-110·mm analogia DN 40,50</t>
  </si>
  <si>
    <t>SIEĆ WODOCIĄGOWA</t>
  </si>
  <si>
    <t xml:space="preserve">SIEĆ WODOCIĄGOWA wartość netto </t>
  </si>
  <si>
    <t>2.6</t>
  </si>
  <si>
    <t>2.7</t>
  </si>
  <si>
    <t>2.8</t>
  </si>
  <si>
    <t>2.9</t>
  </si>
  <si>
    <t>2.10</t>
  </si>
  <si>
    <t>3.11</t>
  </si>
  <si>
    <t>3.12</t>
  </si>
  <si>
    <t>3.13</t>
  </si>
  <si>
    <t>3.14</t>
  </si>
  <si>
    <t>3.15</t>
  </si>
  <si>
    <t>2.11</t>
  </si>
  <si>
    <t xml:space="preserve">ODEJŚCIA WODOCIĄGOWE wartość netto </t>
  </si>
  <si>
    <t xml:space="preserve">OGÓŁEM wartość netto </t>
  </si>
  <si>
    <t>Budowa odcinka sieci wodociągowej (przewiert) na os. Rekuckiego w Nowym Targu</t>
  </si>
  <si>
    <t>odejście wodociągowe</t>
  </si>
  <si>
    <t>Przyłącze wodociągowe z rur ciśnieniowych PE łączone metodą zgrzewania czołowego, rurociąg Fi·40·mm, nakłady liczone na 1mb przyłącza analogia metoda za pomocą kształtek elektrooporowych</t>
  </si>
  <si>
    <t>lp</t>
  </si>
  <si>
    <t>KNNR 4/1010/7 (2)</t>
  </si>
  <si>
    <t>Wartość zł</t>
  </si>
  <si>
    <t>Podłoża i obsypki z kruszyw naturalnych dowiezionych ,pospóła - przyjęto 30%wykopu</t>
  </si>
  <si>
    <t>Połączenie rur polietylenowych, ciśnieniowych PE, PEHD metodą zgrzewania czołowego, Fi 160·mm, z agregatem</t>
  </si>
  <si>
    <t>Przewiert sterowany horyzontalny DN 150 PE RC  SDR 11 PN 16 +  KOSZT RURY PRZEWIERTOWEJ</t>
  </si>
  <si>
    <t>SPIĘCIE DOBUDOWANEGO ODCINKA WODOCIĄGU DN160 Z ISTNIEJĄCA SIECIĄ Z RUR STALOWYCH DN100</t>
  </si>
  <si>
    <t>Trójniki wbudowane do istniejących rurociągów, rurociąg Fi·100 analogia, trójnik kołnierzowy</t>
  </si>
  <si>
    <t xml:space="preserve">KNR 218/901/1
</t>
  </si>
  <si>
    <t>3.16</t>
  </si>
  <si>
    <t>cena jedn.
z krotnością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</si>
</sst>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0"/>
      <name val="Arial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6"/>
      <color indexed="8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  <charset val="238"/>
    </font>
    <font>
      <b/>
      <sz val="16"/>
      <name val="Calibri"/>
      <family val="2"/>
    </font>
    <font>
      <b/>
      <sz val="9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Alignment="0"/>
    <xf numFmtId="0" fontId="2" fillId="0" borderId="0" applyAlignment="0"/>
  </cellStyleXfs>
  <cellXfs count="56">
    <xf numFmtId="0" fontId="0" fillId="0" borderId="0" xfId="0" applyAlignment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/>
    </xf>
    <xf numFmtId="0" fontId="5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9" fillId="0" borderId="0" xfId="0" applyFont="1" applyAlignment="1"/>
    <xf numFmtId="0" fontId="9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left" vertical="center"/>
    </xf>
    <xf numFmtId="0" fontId="7" fillId="0" borderId="4" xfId="0" applyFont="1" applyBorder="1" applyAlignment="1">
      <alignment vertical="center" wrapText="1"/>
    </xf>
    <xf numFmtId="2" fontId="8" fillId="0" borderId="1" xfId="0" applyNumberFormat="1" applyFont="1" applyBorder="1" applyAlignment="1" applyProtection="1">
      <alignment horizontal="right" vertical="center"/>
      <protection locked="0"/>
    </xf>
    <xf numFmtId="4" fontId="8" fillId="0" borderId="1" xfId="0" applyNumberFormat="1" applyFont="1" applyBorder="1" applyAlignment="1" applyProtection="1">
      <alignment horizontal="right" vertical="center"/>
      <protection locked="0"/>
    </xf>
    <xf numFmtId="2" fontId="9" fillId="0" borderId="1" xfId="0" applyNumberFormat="1" applyFont="1" applyBorder="1" applyAlignment="1" applyProtection="1">
      <alignment horizontal="right" vertical="center"/>
      <protection locked="0"/>
    </xf>
    <xf numFmtId="4" fontId="9" fillId="0" borderId="1" xfId="0" applyNumberFormat="1" applyFont="1" applyBorder="1" applyAlignment="1" applyProtection="1">
      <alignment horizontal="right" vertical="center"/>
      <protection locked="0"/>
    </xf>
    <xf numFmtId="2" fontId="9" fillId="0" borderId="1" xfId="0" applyNumberFormat="1" applyFont="1" applyBorder="1" applyAlignment="1" applyProtection="1">
      <alignment vertical="center"/>
      <protection locked="0"/>
    </xf>
    <xf numFmtId="2" fontId="4" fillId="0" borderId="1" xfId="0" applyNumberFormat="1" applyFont="1" applyBorder="1" applyAlignment="1" applyProtection="1">
      <alignment horizontal="right" vertical="center"/>
      <protection locked="0"/>
    </xf>
    <xf numFmtId="2" fontId="3" fillId="0" borderId="1" xfId="0" applyNumberFormat="1" applyFont="1" applyBorder="1" applyAlignment="1" applyProtection="1">
      <alignment horizontal="right" vertical="center" wrapText="1"/>
      <protection locked="0"/>
    </xf>
    <xf numFmtId="4" fontId="6" fillId="0" borderId="1" xfId="0" applyNumberFormat="1" applyFont="1" applyBorder="1" applyAlignment="1" applyProtection="1">
      <alignment vertical="center"/>
      <protection locked="0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2" fontId="4" fillId="0" borderId="1" xfId="0" applyNumberFormat="1" applyFont="1" applyBorder="1" applyAlignment="1" applyProtection="1">
      <alignment vertical="center"/>
      <protection locked="0"/>
    </xf>
    <xf numFmtId="4" fontId="8" fillId="0" borderId="1" xfId="0" applyNumberFormat="1" applyFont="1" applyBorder="1" applyAlignment="1" applyProtection="1">
      <alignment vertical="center"/>
      <protection locked="0"/>
    </xf>
    <xf numFmtId="2" fontId="3" fillId="0" borderId="1" xfId="0" applyNumberFormat="1" applyFont="1" applyBorder="1" applyAlignment="1" applyProtection="1">
      <alignment vertical="center" wrapText="1"/>
      <protection locked="0"/>
    </xf>
    <xf numFmtId="4" fontId="8" fillId="0" borderId="0" xfId="0" applyNumberFormat="1" applyFont="1" applyAlignment="1" applyProtection="1">
      <alignment horizontal="right" vertical="center"/>
      <protection locked="0"/>
    </xf>
    <xf numFmtId="0" fontId="8" fillId="0" borderId="1" xfId="0" applyFont="1" applyBorder="1" applyAlignment="1">
      <alignment horizontal="right"/>
    </xf>
    <xf numFmtId="0" fontId="1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90AD13E4-030F-4934-B4C9-C20EDCF36EF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175F1-13C3-4279-B998-C420C6DFB937}">
  <sheetPr>
    <pageSetUpPr fitToPage="1"/>
  </sheetPr>
  <dimension ref="A1:J88"/>
  <sheetViews>
    <sheetView tabSelected="1" topLeftCell="B1" zoomScaleNormal="100" zoomScaleSheetLayoutView="100" workbookViewId="0">
      <selection activeCell="H7" sqref="H7"/>
    </sheetView>
  </sheetViews>
  <sheetFormatPr defaultRowHeight="12.75" customHeight="1" x14ac:dyDescent="0.2"/>
  <cols>
    <col min="1" max="1" width="4.42578125" style="25" bestFit="1" customWidth="1"/>
    <col min="2" max="2" width="18.140625" style="5" customWidth="1"/>
    <col min="3" max="3" width="68.42578125" style="5" customWidth="1"/>
    <col min="4" max="5" width="8.5703125" style="19" customWidth="1"/>
    <col min="6" max="6" width="7.5703125" style="19" customWidth="1"/>
    <col min="7" max="7" width="9.85546875" style="22" customWidth="1"/>
    <col min="8" max="8" width="12.140625" style="23" customWidth="1"/>
    <col min="9" max="16384" width="9.140625" style="5"/>
  </cols>
  <sheetData>
    <row r="1" spans="1:10" ht="12.75" customHeight="1" x14ac:dyDescent="0.2">
      <c r="A1" s="46" t="s">
        <v>74</v>
      </c>
      <c r="B1" s="46"/>
      <c r="C1" s="46"/>
      <c r="D1" s="46"/>
      <c r="E1" s="46"/>
      <c r="F1" s="46"/>
      <c r="G1" s="46"/>
      <c r="H1" s="46"/>
    </row>
    <row r="2" spans="1:10" ht="12.75" customHeight="1" x14ac:dyDescent="0.2">
      <c r="A2" s="46"/>
      <c r="B2" s="46"/>
      <c r="C2" s="46"/>
      <c r="D2" s="46"/>
      <c r="E2" s="46"/>
      <c r="F2" s="46"/>
      <c r="G2" s="46"/>
      <c r="H2" s="46"/>
    </row>
    <row r="3" spans="1:10" ht="30.75" customHeight="1" x14ac:dyDescent="0.2">
      <c r="A3" s="46" t="s">
        <v>160</v>
      </c>
      <c r="B3" s="46"/>
      <c r="C3" s="46"/>
      <c r="D3" s="46"/>
      <c r="E3" s="46"/>
      <c r="F3" s="46"/>
      <c r="G3" s="46"/>
      <c r="H3" s="46"/>
    </row>
    <row r="4" spans="1:10" s="7" customFormat="1" ht="24" x14ac:dyDescent="0.2">
      <c r="A4" s="6" t="s">
        <v>163</v>
      </c>
      <c r="B4" s="53" t="s">
        <v>0</v>
      </c>
      <c r="C4" s="53" t="s">
        <v>1</v>
      </c>
      <c r="D4" s="53" t="s">
        <v>2</v>
      </c>
      <c r="E4" s="53" t="s">
        <v>3</v>
      </c>
      <c r="F4" s="53" t="s">
        <v>4</v>
      </c>
      <c r="G4" s="54" t="s">
        <v>173</v>
      </c>
      <c r="H4" s="55" t="s">
        <v>165</v>
      </c>
    </row>
    <row r="5" spans="1:10" s="7" customFormat="1" ht="30" customHeight="1" x14ac:dyDescent="0.2">
      <c r="A5" s="48" t="s">
        <v>145</v>
      </c>
      <c r="B5" s="49"/>
      <c r="C5" s="49"/>
      <c r="D5" s="49"/>
      <c r="E5" s="49"/>
      <c r="F5" s="49"/>
      <c r="G5" s="49"/>
      <c r="H5" s="50"/>
    </row>
    <row r="6" spans="1:10" ht="15" x14ac:dyDescent="0.2">
      <c r="A6" s="28" t="s">
        <v>5</v>
      </c>
      <c r="B6" s="1" t="s">
        <v>6</v>
      </c>
      <c r="C6" s="1" t="s">
        <v>8</v>
      </c>
      <c r="D6" s="8"/>
      <c r="E6" s="8"/>
      <c r="F6" s="8"/>
      <c r="G6" s="32"/>
      <c r="H6" s="33">
        <f>SUM(H7:H12)</f>
        <v>0</v>
      </c>
    </row>
    <row r="7" spans="1:10" s="12" customFormat="1" ht="30" customHeight="1" x14ac:dyDescent="0.2">
      <c r="A7" s="29" t="s">
        <v>7</v>
      </c>
      <c r="B7" s="9" t="s">
        <v>9</v>
      </c>
      <c r="C7" s="9" t="s">
        <v>11</v>
      </c>
      <c r="D7" s="3" t="s">
        <v>10</v>
      </c>
      <c r="E7" s="10">
        <f>(69+2.6+5.1)/1000</f>
        <v>7.669999999999999E-2</v>
      </c>
      <c r="F7" s="11">
        <v>1</v>
      </c>
      <c r="G7" s="34"/>
      <c r="H7" s="35">
        <f>ROUND(E7*G7,2)</f>
        <v>0</v>
      </c>
    </row>
    <row r="8" spans="1:10" s="12" customFormat="1" ht="30" customHeight="1" x14ac:dyDescent="0.2">
      <c r="A8" s="29" t="s">
        <v>25</v>
      </c>
      <c r="B8" s="9" t="s">
        <v>12</v>
      </c>
      <c r="C8" s="9" t="s">
        <v>14</v>
      </c>
      <c r="D8" s="3" t="s">
        <v>13</v>
      </c>
      <c r="E8" s="13">
        <f>3.5*2+2.5*2</f>
        <v>12</v>
      </c>
      <c r="F8" s="11">
        <v>1</v>
      </c>
      <c r="G8" s="34"/>
      <c r="H8" s="35">
        <f t="shared" ref="H8:H12" si="0">ROUND(E8*G8,2)</f>
        <v>0</v>
      </c>
    </row>
    <row r="9" spans="1:10" s="12" customFormat="1" ht="30" customHeight="1" x14ac:dyDescent="0.2">
      <c r="A9" s="29" t="s">
        <v>39</v>
      </c>
      <c r="B9" s="9" t="s">
        <v>15</v>
      </c>
      <c r="C9" s="9" t="s">
        <v>17</v>
      </c>
      <c r="D9" s="3" t="s">
        <v>16</v>
      </c>
      <c r="E9" s="13">
        <f>3.5*2.5</f>
        <v>8.75</v>
      </c>
      <c r="F9" s="11">
        <v>1</v>
      </c>
      <c r="G9" s="34"/>
      <c r="H9" s="35">
        <f t="shared" si="0"/>
        <v>0</v>
      </c>
    </row>
    <row r="10" spans="1:10" s="12" customFormat="1" ht="30" customHeight="1" x14ac:dyDescent="0.2">
      <c r="A10" s="29" t="s">
        <v>57</v>
      </c>
      <c r="B10" s="9" t="s">
        <v>18</v>
      </c>
      <c r="C10" s="9" t="s">
        <v>19</v>
      </c>
      <c r="D10" s="3" t="s">
        <v>16</v>
      </c>
      <c r="E10" s="13">
        <f>E9</f>
        <v>8.75</v>
      </c>
      <c r="F10" s="11">
        <v>1</v>
      </c>
      <c r="G10" s="34"/>
      <c r="H10" s="35">
        <f t="shared" si="0"/>
        <v>0</v>
      </c>
    </row>
    <row r="11" spans="1:10" s="12" customFormat="1" ht="30" customHeight="1" x14ac:dyDescent="0.2">
      <c r="A11" s="29" t="s">
        <v>59</v>
      </c>
      <c r="B11" s="9" t="s">
        <v>20</v>
      </c>
      <c r="C11" s="9" t="s">
        <v>22</v>
      </c>
      <c r="D11" s="3" t="s">
        <v>21</v>
      </c>
      <c r="E11" s="13">
        <f>E10*(0.15+0.08)</f>
        <v>2.0124999999999997</v>
      </c>
      <c r="F11" s="11">
        <v>1</v>
      </c>
      <c r="G11" s="34"/>
      <c r="H11" s="35">
        <f t="shared" si="0"/>
        <v>0</v>
      </c>
    </row>
    <row r="12" spans="1:10" s="12" customFormat="1" ht="30" customHeight="1" x14ac:dyDescent="0.2">
      <c r="A12" s="29" t="s">
        <v>69</v>
      </c>
      <c r="B12" s="9" t="s">
        <v>23</v>
      </c>
      <c r="C12" s="9" t="s">
        <v>24</v>
      </c>
      <c r="D12" s="3" t="s">
        <v>21</v>
      </c>
      <c r="E12" s="13">
        <f>E11</f>
        <v>2.0124999999999997</v>
      </c>
      <c r="F12" s="11">
        <v>2</v>
      </c>
      <c r="G12" s="34"/>
      <c r="H12" s="35">
        <f t="shared" si="0"/>
        <v>0</v>
      </c>
    </row>
    <row r="13" spans="1:10" s="12" customFormat="1" ht="15" x14ac:dyDescent="0.2">
      <c r="A13" s="28" t="s">
        <v>76</v>
      </c>
      <c r="B13" s="14" t="s">
        <v>6</v>
      </c>
      <c r="C13" s="14" t="s">
        <v>26</v>
      </c>
      <c r="D13" s="8"/>
      <c r="E13" s="15"/>
      <c r="F13" s="8"/>
      <c r="G13" s="32"/>
      <c r="H13" s="33">
        <f>SUM(H14:H24)</f>
        <v>0</v>
      </c>
    </row>
    <row r="14" spans="1:10" s="12" customFormat="1" ht="45" customHeight="1" x14ac:dyDescent="0.2">
      <c r="A14" s="29" t="s">
        <v>77</v>
      </c>
      <c r="B14" s="4" t="s">
        <v>104</v>
      </c>
      <c r="C14" s="4" t="s">
        <v>105</v>
      </c>
      <c r="D14" s="16" t="s">
        <v>21</v>
      </c>
      <c r="E14" s="17">
        <f>E19+3.14*0.08^2*(5.1+2.6)+E20</f>
        <v>7.0683000000000007</v>
      </c>
      <c r="F14" s="11">
        <v>1</v>
      </c>
      <c r="G14" s="36"/>
      <c r="H14" s="35">
        <f t="shared" ref="H14:H24" si="1">ROUND(E14*G14,2)</f>
        <v>0</v>
      </c>
      <c r="J14" s="30"/>
    </row>
    <row r="15" spans="1:10" s="12" customFormat="1" ht="45" customHeight="1" x14ac:dyDescent="0.2">
      <c r="A15" s="29" t="s">
        <v>78</v>
      </c>
      <c r="B15" s="4" t="s">
        <v>106</v>
      </c>
      <c r="C15" s="4" t="s">
        <v>107</v>
      </c>
      <c r="D15" s="16" t="s">
        <v>21</v>
      </c>
      <c r="E15" s="17">
        <f>E14</f>
        <v>7.0683000000000007</v>
      </c>
      <c r="F15" s="11">
        <v>1</v>
      </c>
      <c r="G15" s="36"/>
      <c r="H15" s="35">
        <f t="shared" si="1"/>
        <v>0</v>
      </c>
    </row>
    <row r="16" spans="1:10" s="12" customFormat="1" ht="30" customHeight="1" x14ac:dyDescent="0.2">
      <c r="A16" s="29" t="s">
        <v>79</v>
      </c>
      <c r="B16" s="9" t="s">
        <v>27</v>
      </c>
      <c r="C16" s="9" t="s">
        <v>28</v>
      </c>
      <c r="D16" s="3" t="s">
        <v>21</v>
      </c>
      <c r="E16" s="13">
        <f>(2.5*2.5*1.7+(2.5*2.5*1.7)*70%+(5.1+2.6)*0.9*1.7-E11)*80%</f>
        <v>22.264800000000001</v>
      </c>
      <c r="F16" s="11">
        <v>1</v>
      </c>
      <c r="G16" s="34"/>
      <c r="H16" s="35">
        <f t="shared" si="1"/>
        <v>0</v>
      </c>
    </row>
    <row r="17" spans="1:10" s="12" customFormat="1" ht="45" customHeight="1" x14ac:dyDescent="0.2">
      <c r="A17" s="29" t="s">
        <v>80</v>
      </c>
      <c r="B17" s="9" t="s">
        <v>29</v>
      </c>
      <c r="C17" s="9" t="s">
        <v>30</v>
      </c>
      <c r="D17" s="3" t="s">
        <v>21</v>
      </c>
      <c r="E17" s="13">
        <f>(2.5*2.5*1.7+(2.5*2.5*1.7)*70%+(5.1+2.6)*0.9*1.7-E12)*20%</f>
        <v>5.5662000000000003</v>
      </c>
      <c r="F17" s="11">
        <v>1</v>
      </c>
      <c r="G17" s="34"/>
      <c r="H17" s="35">
        <f t="shared" si="1"/>
        <v>0</v>
      </c>
    </row>
    <row r="18" spans="1:10" s="12" customFormat="1" ht="45" customHeight="1" x14ac:dyDescent="0.2">
      <c r="A18" s="29" t="s">
        <v>81</v>
      </c>
      <c r="B18" s="9" t="s">
        <v>31</v>
      </c>
      <c r="C18" s="9" t="s">
        <v>32</v>
      </c>
      <c r="D18" s="3" t="s">
        <v>16</v>
      </c>
      <c r="E18" s="13">
        <f>(2.5*1.7*4)*2+(2.6+5.1)*1.7*2</f>
        <v>60.179999999999993</v>
      </c>
      <c r="F18" s="11">
        <v>1</v>
      </c>
      <c r="G18" s="34"/>
      <c r="H18" s="35">
        <f t="shared" si="1"/>
        <v>0</v>
      </c>
    </row>
    <row r="19" spans="1:10" s="12" customFormat="1" ht="30" customHeight="1" x14ac:dyDescent="0.2">
      <c r="A19" s="29" t="s">
        <v>147</v>
      </c>
      <c r="B19" s="4" t="s">
        <v>108</v>
      </c>
      <c r="C19" s="4" t="s">
        <v>109</v>
      </c>
      <c r="D19" s="16" t="s">
        <v>21</v>
      </c>
      <c r="E19" s="13">
        <f>(5.1+2.6)*0.9*0.56-3.14*0.08^2*(5.1+2.6)</f>
        <v>3.7260608000000004</v>
      </c>
      <c r="F19" s="11">
        <v>1</v>
      </c>
      <c r="G19" s="34"/>
      <c r="H19" s="35">
        <f t="shared" si="1"/>
        <v>0</v>
      </c>
    </row>
    <row r="20" spans="1:10" s="12" customFormat="1" ht="30" customHeight="1" x14ac:dyDescent="0.2">
      <c r="A20" s="29"/>
      <c r="B20" s="2" t="s">
        <v>108</v>
      </c>
      <c r="C20" s="2" t="s">
        <v>166</v>
      </c>
      <c r="D20" s="3" t="s">
        <v>21</v>
      </c>
      <c r="E20" s="13">
        <f>(2.5*2.5*1.7)*30%</f>
        <v>3.1875</v>
      </c>
      <c r="F20" s="11">
        <v>1</v>
      </c>
      <c r="G20" s="34"/>
      <c r="H20" s="35">
        <f t="shared" si="1"/>
        <v>0</v>
      </c>
      <c r="J20" s="30"/>
    </row>
    <row r="21" spans="1:10" s="12" customFormat="1" ht="30" customHeight="1" x14ac:dyDescent="0.2">
      <c r="A21" s="29" t="s">
        <v>148</v>
      </c>
      <c r="B21" s="9" t="s">
        <v>33</v>
      </c>
      <c r="C21" s="9" t="s">
        <v>34</v>
      </c>
      <c r="D21" s="3" t="s">
        <v>21</v>
      </c>
      <c r="E21" s="13">
        <f>E17+E16</f>
        <v>27.831000000000003</v>
      </c>
      <c r="F21" s="11">
        <v>1</v>
      </c>
      <c r="G21" s="34"/>
      <c r="H21" s="35">
        <f t="shared" si="1"/>
        <v>0</v>
      </c>
    </row>
    <row r="22" spans="1:10" s="12" customFormat="1" ht="30" customHeight="1" x14ac:dyDescent="0.2">
      <c r="A22" s="29" t="s">
        <v>149</v>
      </c>
      <c r="B22" s="9" t="s">
        <v>35</v>
      </c>
      <c r="C22" s="9" t="s">
        <v>36</v>
      </c>
      <c r="D22" s="3" t="s">
        <v>21</v>
      </c>
      <c r="E22" s="13">
        <f>E21</f>
        <v>27.831000000000003</v>
      </c>
      <c r="F22" s="11">
        <v>1</v>
      </c>
      <c r="G22" s="34"/>
      <c r="H22" s="35">
        <f t="shared" si="1"/>
        <v>0</v>
      </c>
    </row>
    <row r="23" spans="1:10" s="12" customFormat="1" ht="30" customHeight="1" x14ac:dyDescent="0.2">
      <c r="A23" s="29" t="s">
        <v>150</v>
      </c>
      <c r="B23" s="4" t="s">
        <v>110</v>
      </c>
      <c r="C23" s="4" t="s">
        <v>111</v>
      </c>
      <c r="D23" s="16" t="s">
        <v>16</v>
      </c>
      <c r="E23" s="13">
        <f>2.5*2.5+(5.1+2.6)*2</f>
        <v>21.65</v>
      </c>
      <c r="F23" s="11">
        <v>1</v>
      </c>
      <c r="G23" s="34"/>
      <c r="H23" s="35">
        <f t="shared" si="1"/>
        <v>0</v>
      </c>
    </row>
    <row r="24" spans="1:10" s="12" customFormat="1" ht="30" customHeight="1" x14ac:dyDescent="0.2">
      <c r="A24" s="29" t="s">
        <v>151</v>
      </c>
      <c r="B24" s="4" t="s">
        <v>112</v>
      </c>
      <c r="C24" s="4" t="s">
        <v>113</v>
      </c>
      <c r="D24" s="16" t="s">
        <v>16</v>
      </c>
      <c r="E24" s="13">
        <f>E23</f>
        <v>21.65</v>
      </c>
      <c r="F24" s="11">
        <v>1</v>
      </c>
      <c r="G24" s="34"/>
      <c r="H24" s="35">
        <f t="shared" si="1"/>
        <v>0</v>
      </c>
    </row>
    <row r="25" spans="1:10" s="12" customFormat="1" ht="15" x14ac:dyDescent="0.2">
      <c r="A25" s="28" t="s">
        <v>82</v>
      </c>
      <c r="B25" s="14" t="s">
        <v>6</v>
      </c>
      <c r="C25" s="14" t="s">
        <v>40</v>
      </c>
      <c r="D25" s="8"/>
      <c r="E25" s="15"/>
      <c r="F25" s="8"/>
      <c r="G25" s="32"/>
      <c r="H25" s="33">
        <f>SUM(H26:H41)</f>
        <v>0</v>
      </c>
    </row>
    <row r="26" spans="1:10" s="12" customFormat="1" ht="30" customHeight="1" x14ac:dyDescent="0.2">
      <c r="A26" s="29" t="s">
        <v>83</v>
      </c>
      <c r="B26" s="4" t="s">
        <v>114</v>
      </c>
      <c r="C26" s="4" t="s">
        <v>115</v>
      </c>
      <c r="D26" s="16" t="s">
        <v>13</v>
      </c>
      <c r="E26" s="13">
        <f>2.6+5.1</f>
        <v>7.6999999999999993</v>
      </c>
      <c r="F26" s="11">
        <v>1</v>
      </c>
      <c r="G26" s="34"/>
      <c r="H26" s="35">
        <f t="shared" ref="H26:H41" si="2">ROUND(E26*G26,2)</f>
        <v>0</v>
      </c>
    </row>
    <row r="27" spans="1:10" s="12" customFormat="1" ht="30" customHeight="1" x14ac:dyDescent="0.2">
      <c r="A27" s="29" t="s">
        <v>84</v>
      </c>
      <c r="B27" s="2" t="s">
        <v>119</v>
      </c>
      <c r="C27" s="2" t="s">
        <v>120</v>
      </c>
      <c r="D27" s="3" t="s">
        <v>13</v>
      </c>
      <c r="E27" s="13">
        <v>3</v>
      </c>
      <c r="F27" s="11">
        <v>1</v>
      </c>
      <c r="G27" s="34"/>
      <c r="H27" s="35">
        <f t="shared" si="2"/>
        <v>0</v>
      </c>
    </row>
    <row r="28" spans="1:10" s="12" customFormat="1" ht="30" customHeight="1" x14ac:dyDescent="0.2">
      <c r="A28" s="29" t="s">
        <v>85</v>
      </c>
      <c r="B28" s="9" t="s">
        <v>41</v>
      </c>
      <c r="C28" s="9" t="s">
        <v>43</v>
      </c>
      <c r="D28" s="3" t="s">
        <v>42</v>
      </c>
      <c r="E28" s="13">
        <v>1</v>
      </c>
      <c r="F28" s="11">
        <v>1</v>
      </c>
      <c r="G28" s="34"/>
      <c r="H28" s="35">
        <f t="shared" si="2"/>
        <v>0</v>
      </c>
    </row>
    <row r="29" spans="1:10" s="12" customFormat="1" ht="30" customHeight="1" x14ac:dyDescent="0.2">
      <c r="A29" s="29" t="s">
        <v>86</v>
      </c>
      <c r="B29" s="9" t="s">
        <v>46</v>
      </c>
      <c r="C29" s="9" t="s">
        <v>75</v>
      </c>
      <c r="D29" s="3" t="s">
        <v>45</v>
      </c>
      <c r="E29" s="13">
        <v>1</v>
      </c>
      <c r="F29" s="11">
        <v>1</v>
      </c>
      <c r="G29" s="34"/>
      <c r="H29" s="35">
        <f t="shared" si="2"/>
        <v>0</v>
      </c>
    </row>
    <row r="30" spans="1:10" s="12" customFormat="1" ht="30" customHeight="1" x14ac:dyDescent="0.2">
      <c r="A30" s="29" t="s">
        <v>87</v>
      </c>
      <c r="B30" s="9" t="s">
        <v>46</v>
      </c>
      <c r="C30" s="9" t="s">
        <v>47</v>
      </c>
      <c r="D30" s="3" t="s">
        <v>45</v>
      </c>
      <c r="E30" s="13">
        <v>1</v>
      </c>
      <c r="F30" s="11">
        <v>1</v>
      </c>
      <c r="G30" s="34"/>
      <c r="H30" s="35">
        <f t="shared" si="2"/>
        <v>0</v>
      </c>
    </row>
    <row r="31" spans="1:10" s="12" customFormat="1" ht="30" customHeight="1" x14ac:dyDescent="0.2">
      <c r="A31" s="29" t="s">
        <v>88</v>
      </c>
      <c r="B31" s="9" t="s">
        <v>44</v>
      </c>
      <c r="C31" s="9" t="s">
        <v>48</v>
      </c>
      <c r="D31" s="3" t="s">
        <v>45</v>
      </c>
      <c r="E31" s="13">
        <v>2</v>
      </c>
      <c r="F31" s="11">
        <v>1</v>
      </c>
      <c r="G31" s="34"/>
      <c r="H31" s="35">
        <f t="shared" si="2"/>
        <v>0</v>
      </c>
    </row>
    <row r="32" spans="1:10" s="12" customFormat="1" ht="30" x14ac:dyDescent="0.2">
      <c r="A32" s="29" t="s">
        <v>89</v>
      </c>
      <c r="B32" s="9" t="s">
        <v>171</v>
      </c>
      <c r="C32" s="9" t="s">
        <v>170</v>
      </c>
      <c r="D32" s="3" t="s">
        <v>45</v>
      </c>
      <c r="E32" s="13">
        <v>1</v>
      </c>
      <c r="F32" s="11">
        <v>1</v>
      </c>
      <c r="G32" s="34"/>
      <c r="H32" s="35">
        <f t="shared" si="2"/>
        <v>0</v>
      </c>
    </row>
    <row r="33" spans="1:9" s="12" customFormat="1" ht="30" x14ac:dyDescent="0.2">
      <c r="A33" s="29" t="s">
        <v>90</v>
      </c>
      <c r="B33" s="9" t="s">
        <v>37</v>
      </c>
      <c r="C33" s="9" t="s">
        <v>169</v>
      </c>
      <c r="D33" s="3" t="s">
        <v>42</v>
      </c>
      <c r="E33" s="13">
        <v>1</v>
      </c>
      <c r="F33" s="11">
        <v>1</v>
      </c>
      <c r="G33" s="34"/>
      <c r="H33" s="35">
        <f t="shared" si="2"/>
        <v>0</v>
      </c>
    </row>
    <row r="34" spans="1:9" s="12" customFormat="1" ht="30" customHeight="1" x14ac:dyDescent="0.2">
      <c r="A34" s="29" t="s">
        <v>91</v>
      </c>
      <c r="B34" s="4" t="s">
        <v>46</v>
      </c>
      <c r="C34" s="4" t="s">
        <v>116</v>
      </c>
      <c r="D34" s="16" t="s">
        <v>45</v>
      </c>
      <c r="E34" s="13">
        <v>1</v>
      </c>
      <c r="F34" s="11">
        <v>1</v>
      </c>
      <c r="G34" s="34"/>
      <c r="H34" s="35">
        <f t="shared" si="2"/>
        <v>0</v>
      </c>
    </row>
    <row r="35" spans="1:9" s="12" customFormat="1" ht="30" customHeight="1" x14ac:dyDescent="0.2">
      <c r="A35" s="29" t="s">
        <v>103</v>
      </c>
      <c r="B35" s="2" t="s">
        <v>121</v>
      </c>
      <c r="C35" s="2" t="s">
        <v>122</v>
      </c>
      <c r="D35" s="3" t="s">
        <v>45</v>
      </c>
      <c r="E35" s="11">
        <v>1</v>
      </c>
      <c r="F35" s="11">
        <v>1</v>
      </c>
      <c r="G35" s="34"/>
      <c r="H35" s="35">
        <f t="shared" si="2"/>
        <v>0</v>
      </c>
    </row>
    <row r="36" spans="1:9" s="12" customFormat="1" ht="30" customHeight="1" x14ac:dyDescent="0.2">
      <c r="A36" s="29" t="s">
        <v>152</v>
      </c>
      <c r="B36" s="2" t="s">
        <v>117</v>
      </c>
      <c r="C36" s="2" t="s">
        <v>118</v>
      </c>
      <c r="D36" s="3" t="s">
        <v>45</v>
      </c>
      <c r="E36" s="18">
        <v>2</v>
      </c>
      <c r="F36" s="11">
        <v>1</v>
      </c>
      <c r="G36" s="34"/>
      <c r="H36" s="35">
        <f t="shared" si="2"/>
        <v>0</v>
      </c>
    </row>
    <row r="37" spans="1:9" s="12" customFormat="1" ht="30" customHeight="1" x14ac:dyDescent="0.2">
      <c r="A37" s="29" t="s">
        <v>153</v>
      </c>
      <c r="B37" s="9" t="s">
        <v>49</v>
      </c>
      <c r="C37" s="9" t="s">
        <v>51</v>
      </c>
      <c r="D37" s="3" t="s">
        <v>50</v>
      </c>
      <c r="E37" s="13">
        <f>69/200</f>
        <v>0.34499999999999997</v>
      </c>
      <c r="F37" s="11">
        <v>1</v>
      </c>
      <c r="G37" s="34"/>
      <c r="H37" s="35">
        <f t="shared" si="2"/>
        <v>0</v>
      </c>
    </row>
    <row r="38" spans="1:9" s="12" customFormat="1" ht="30" customHeight="1" x14ac:dyDescent="0.2">
      <c r="A38" s="29" t="s">
        <v>154</v>
      </c>
      <c r="B38" s="9" t="s">
        <v>52</v>
      </c>
      <c r="C38" s="9" t="s">
        <v>54</v>
      </c>
      <c r="D38" s="3" t="s">
        <v>53</v>
      </c>
      <c r="E38" s="13">
        <v>1</v>
      </c>
      <c r="F38" s="11">
        <v>1</v>
      </c>
      <c r="G38" s="34"/>
      <c r="H38" s="35">
        <f t="shared" si="2"/>
        <v>0</v>
      </c>
      <c r="I38" s="19"/>
    </row>
    <row r="39" spans="1:9" s="12" customFormat="1" ht="30" customHeight="1" x14ac:dyDescent="0.2">
      <c r="A39" s="29" t="s">
        <v>155</v>
      </c>
      <c r="B39" s="9" t="s">
        <v>55</v>
      </c>
      <c r="C39" s="9" t="s">
        <v>56</v>
      </c>
      <c r="D39" s="3" t="s">
        <v>53</v>
      </c>
      <c r="E39" s="13">
        <v>1</v>
      </c>
      <c r="F39" s="11">
        <v>1</v>
      </c>
      <c r="G39" s="34"/>
      <c r="H39" s="35">
        <f t="shared" si="2"/>
        <v>0</v>
      </c>
    </row>
    <row r="40" spans="1:9" s="12" customFormat="1" ht="30" customHeight="1" x14ac:dyDescent="0.2">
      <c r="A40" s="29" t="s">
        <v>156</v>
      </c>
      <c r="B40" s="20" t="s">
        <v>164</v>
      </c>
      <c r="C40" s="4" t="s">
        <v>167</v>
      </c>
      <c r="D40" s="21" t="s">
        <v>134</v>
      </c>
      <c r="E40" s="18">
        <f>(69+7)/12+7</f>
        <v>13.333333333333332</v>
      </c>
      <c r="F40" s="11">
        <v>1</v>
      </c>
      <c r="G40" s="34"/>
      <c r="H40" s="35">
        <f t="shared" si="2"/>
        <v>0</v>
      </c>
    </row>
    <row r="41" spans="1:9" s="12" customFormat="1" ht="30" customHeight="1" x14ac:dyDescent="0.2">
      <c r="A41" s="29" t="s">
        <v>172</v>
      </c>
      <c r="B41" s="9" t="s">
        <v>37</v>
      </c>
      <c r="C41" s="9" t="s">
        <v>168</v>
      </c>
      <c r="D41" s="3" t="s">
        <v>58</v>
      </c>
      <c r="E41" s="13">
        <v>69</v>
      </c>
      <c r="F41" s="11">
        <v>1</v>
      </c>
      <c r="G41" s="34"/>
      <c r="H41" s="35">
        <f t="shared" si="2"/>
        <v>0</v>
      </c>
    </row>
    <row r="42" spans="1:9" s="12" customFormat="1" ht="15" x14ac:dyDescent="0.2">
      <c r="A42" s="28" t="s">
        <v>92</v>
      </c>
      <c r="B42" s="14" t="s">
        <v>6</v>
      </c>
      <c r="C42" s="14" t="s">
        <v>60</v>
      </c>
      <c r="D42" s="8"/>
      <c r="E42" s="15"/>
      <c r="F42" s="8"/>
      <c r="G42" s="32"/>
      <c r="H42" s="33">
        <f>SUM(H43:H46)</f>
        <v>0</v>
      </c>
    </row>
    <row r="43" spans="1:9" s="12" customFormat="1" ht="30" customHeight="1" x14ac:dyDescent="0.2">
      <c r="A43" s="29" t="s">
        <v>93</v>
      </c>
      <c r="B43" s="9" t="s">
        <v>61</v>
      </c>
      <c r="C43" s="9" t="s">
        <v>62</v>
      </c>
      <c r="D43" s="3" t="s">
        <v>16</v>
      </c>
      <c r="E43" s="13">
        <f>E9</f>
        <v>8.75</v>
      </c>
      <c r="F43" s="11">
        <v>1</v>
      </c>
      <c r="G43" s="34"/>
      <c r="H43" s="35">
        <f t="shared" ref="H43:H46" si="3">ROUND(E43*G43,2)</f>
        <v>0</v>
      </c>
    </row>
    <row r="44" spans="1:9" s="12" customFormat="1" ht="30" customHeight="1" x14ac:dyDescent="0.2">
      <c r="A44" s="29" t="s">
        <v>94</v>
      </c>
      <c r="B44" s="9" t="s">
        <v>63</v>
      </c>
      <c r="C44" s="9" t="s">
        <v>64</v>
      </c>
      <c r="D44" s="3" t="s">
        <v>16</v>
      </c>
      <c r="E44" s="13">
        <f>E43</f>
        <v>8.75</v>
      </c>
      <c r="F44" s="11">
        <v>1</v>
      </c>
      <c r="G44" s="34"/>
      <c r="H44" s="35">
        <f t="shared" si="3"/>
        <v>0</v>
      </c>
    </row>
    <row r="45" spans="1:9" s="12" customFormat="1" ht="30" customHeight="1" x14ac:dyDescent="0.2">
      <c r="A45" s="29" t="s">
        <v>95</v>
      </c>
      <c r="B45" s="9" t="s">
        <v>65</v>
      </c>
      <c r="C45" s="9" t="s">
        <v>66</v>
      </c>
      <c r="D45" s="3" t="s">
        <v>16</v>
      </c>
      <c r="E45" s="13">
        <f>E43</f>
        <v>8.75</v>
      </c>
      <c r="F45" s="11">
        <v>1</v>
      </c>
      <c r="G45" s="34"/>
      <c r="H45" s="35">
        <f t="shared" si="3"/>
        <v>0</v>
      </c>
    </row>
    <row r="46" spans="1:9" s="12" customFormat="1" ht="30" customHeight="1" x14ac:dyDescent="0.2">
      <c r="A46" s="29" t="s">
        <v>96</v>
      </c>
      <c r="B46" s="9" t="s">
        <v>67</v>
      </c>
      <c r="C46" s="9" t="s">
        <v>68</v>
      </c>
      <c r="D46" s="3" t="s">
        <v>16</v>
      </c>
      <c r="E46" s="13">
        <f>E43</f>
        <v>8.75</v>
      </c>
      <c r="F46" s="11">
        <v>1</v>
      </c>
      <c r="G46" s="34"/>
      <c r="H46" s="35">
        <f t="shared" si="3"/>
        <v>0</v>
      </c>
    </row>
    <row r="47" spans="1:9" ht="15" x14ac:dyDescent="0.2">
      <c r="A47" s="28" t="s">
        <v>97</v>
      </c>
      <c r="B47" s="1" t="s">
        <v>6</v>
      </c>
      <c r="C47" s="1" t="s">
        <v>70</v>
      </c>
      <c r="D47" s="8"/>
      <c r="E47" s="8"/>
      <c r="F47" s="8"/>
      <c r="G47" s="37"/>
      <c r="H47" s="33">
        <f>SUM(H48:H50)</f>
        <v>0</v>
      </c>
    </row>
    <row r="48" spans="1:9" ht="30" customHeight="1" x14ac:dyDescent="0.2">
      <c r="A48" s="29" t="s">
        <v>98</v>
      </c>
      <c r="B48" s="2" t="s">
        <v>37</v>
      </c>
      <c r="C48" s="2" t="s">
        <v>71</v>
      </c>
      <c r="D48" s="3" t="s">
        <v>38</v>
      </c>
      <c r="E48" s="11">
        <v>1</v>
      </c>
      <c r="F48" s="11">
        <v>1</v>
      </c>
      <c r="G48" s="38"/>
      <c r="H48" s="35">
        <f t="shared" ref="H48:H50" si="4">ROUND(E48*G48,2)</f>
        <v>0</v>
      </c>
    </row>
    <row r="49" spans="1:8" ht="30" customHeight="1" x14ac:dyDescent="0.2">
      <c r="A49" s="29" t="s">
        <v>99</v>
      </c>
      <c r="B49" s="2" t="s">
        <v>37</v>
      </c>
      <c r="C49" s="2" t="s">
        <v>72</v>
      </c>
      <c r="D49" s="3" t="s">
        <v>38</v>
      </c>
      <c r="E49" s="11">
        <v>1</v>
      </c>
      <c r="F49" s="11">
        <v>1</v>
      </c>
      <c r="G49" s="38"/>
      <c r="H49" s="35">
        <f t="shared" si="4"/>
        <v>0</v>
      </c>
    </row>
    <row r="50" spans="1:8" ht="30" customHeight="1" x14ac:dyDescent="0.2">
      <c r="A50" s="29" t="s">
        <v>100</v>
      </c>
      <c r="B50" s="2" t="s">
        <v>37</v>
      </c>
      <c r="C50" s="2" t="s">
        <v>73</v>
      </c>
      <c r="D50" s="3" t="s">
        <v>38</v>
      </c>
      <c r="E50" s="11">
        <v>1</v>
      </c>
      <c r="F50" s="11">
        <v>1</v>
      </c>
      <c r="G50" s="38"/>
      <c r="H50" s="35">
        <f t="shared" si="4"/>
        <v>0</v>
      </c>
    </row>
    <row r="51" spans="1:8" ht="20.100000000000001" customHeight="1" x14ac:dyDescent="0.2">
      <c r="A51" s="47" t="s">
        <v>146</v>
      </c>
      <c r="B51" s="47"/>
      <c r="C51" s="47"/>
      <c r="D51" s="47"/>
      <c r="E51" s="47"/>
      <c r="F51" s="47"/>
      <c r="G51" s="47"/>
      <c r="H51" s="39">
        <f>H47+H42+H25+H13+H6</f>
        <v>0</v>
      </c>
    </row>
    <row r="52" spans="1:8" ht="20.100000000000001" customHeight="1" x14ac:dyDescent="0.25">
      <c r="A52" s="45" t="s">
        <v>101</v>
      </c>
      <c r="B52" s="45"/>
      <c r="C52" s="45"/>
      <c r="D52" s="45"/>
      <c r="E52" s="45"/>
      <c r="F52" s="45"/>
      <c r="G52" s="45"/>
      <c r="H52" s="40">
        <f>ROUND(H51*23%,2)</f>
        <v>0</v>
      </c>
    </row>
    <row r="53" spans="1:8" ht="20.100000000000001" customHeight="1" x14ac:dyDescent="0.25">
      <c r="A53" s="45" t="s">
        <v>102</v>
      </c>
      <c r="B53" s="45"/>
      <c r="C53" s="45"/>
      <c r="D53" s="45"/>
      <c r="E53" s="45"/>
      <c r="F53" s="45"/>
      <c r="G53" s="45"/>
      <c r="H53" s="40">
        <f>H51+H52</f>
        <v>0</v>
      </c>
    </row>
    <row r="54" spans="1:8" ht="30" customHeight="1" x14ac:dyDescent="0.2"/>
    <row r="55" spans="1:8" ht="30" customHeight="1" x14ac:dyDescent="0.2">
      <c r="A55" s="51" t="s">
        <v>161</v>
      </c>
      <c r="B55" s="52"/>
      <c r="C55" s="52"/>
      <c r="D55" s="52"/>
      <c r="E55" s="52"/>
      <c r="F55" s="52"/>
      <c r="G55" s="52"/>
      <c r="H55" s="31"/>
    </row>
    <row r="56" spans="1:8" ht="15" x14ac:dyDescent="0.2">
      <c r="A56" s="28" t="s">
        <v>5</v>
      </c>
      <c r="B56" s="1" t="s">
        <v>6</v>
      </c>
      <c r="C56" s="1" t="s">
        <v>123</v>
      </c>
      <c r="D56" s="8"/>
      <c r="E56" s="8"/>
      <c r="F56" s="8"/>
      <c r="G56" s="41"/>
      <c r="H56" s="42">
        <f>H57</f>
        <v>0</v>
      </c>
    </row>
    <row r="57" spans="1:8" ht="30" customHeight="1" x14ac:dyDescent="0.2">
      <c r="A57" s="29" t="s">
        <v>7</v>
      </c>
      <c r="B57" s="2" t="s">
        <v>9</v>
      </c>
      <c r="C57" s="2" t="s">
        <v>11</v>
      </c>
      <c r="D57" s="3" t="s">
        <v>10</v>
      </c>
      <c r="E57" s="11">
        <f>7.5/1000</f>
        <v>7.4999999999999997E-3</v>
      </c>
      <c r="F57" s="11">
        <v>1</v>
      </c>
      <c r="G57" s="43"/>
      <c r="H57" s="35">
        <f>ROUND(E57*G57,2)</f>
        <v>0</v>
      </c>
    </row>
    <row r="58" spans="1:8" ht="15" x14ac:dyDescent="0.2">
      <c r="A58" s="28" t="s">
        <v>76</v>
      </c>
      <c r="B58" s="1" t="s">
        <v>6</v>
      </c>
      <c r="C58" s="1" t="s">
        <v>26</v>
      </c>
      <c r="D58" s="8"/>
      <c r="E58" s="8"/>
      <c r="F58" s="8"/>
      <c r="G58" s="41"/>
      <c r="H58" s="42">
        <f>SUM(H59:H69)</f>
        <v>0</v>
      </c>
    </row>
    <row r="59" spans="1:8" ht="45" customHeight="1" x14ac:dyDescent="0.2">
      <c r="A59" s="29" t="s">
        <v>77</v>
      </c>
      <c r="B59" s="2" t="s">
        <v>104</v>
      </c>
      <c r="C59" s="2" t="s">
        <v>105</v>
      </c>
      <c r="D59" s="3" t="s">
        <v>21</v>
      </c>
      <c r="E59" s="11">
        <f>E64</f>
        <v>2.7</v>
      </c>
      <c r="F59" s="11">
        <v>1</v>
      </c>
      <c r="G59" s="43"/>
      <c r="H59" s="35">
        <f t="shared" ref="H59:H69" si="5">ROUND(E59*G59,2)</f>
        <v>0</v>
      </c>
    </row>
    <row r="60" spans="1:8" ht="45" customHeight="1" x14ac:dyDescent="0.2">
      <c r="A60" s="29" t="s">
        <v>78</v>
      </c>
      <c r="B60" s="2" t="s">
        <v>106</v>
      </c>
      <c r="C60" s="2" t="s">
        <v>124</v>
      </c>
      <c r="D60" s="3" t="s">
        <v>21</v>
      </c>
      <c r="E60" s="11">
        <f>E59</f>
        <v>2.7</v>
      </c>
      <c r="F60" s="11">
        <v>2</v>
      </c>
      <c r="G60" s="43"/>
      <c r="H60" s="35">
        <f t="shared" si="5"/>
        <v>0</v>
      </c>
    </row>
    <row r="61" spans="1:8" ht="30" customHeight="1" x14ac:dyDescent="0.2">
      <c r="A61" s="29" t="s">
        <v>79</v>
      </c>
      <c r="B61" s="2" t="s">
        <v>125</v>
      </c>
      <c r="C61" s="2" t="s">
        <v>28</v>
      </c>
      <c r="D61" s="3" t="s">
        <v>21</v>
      </c>
      <c r="E61" s="11">
        <f>(7.5*0.9*1.6-E59)*80%</f>
        <v>6.4800000000000013</v>
      </c>
      <c r="F61" s="11">
        <v>1</v>
      </c>
      <c r="G61" s="43"/>
      <c r="H61" s="35">
        <f t="shared" si="5"/>
        <v>0</v>
      </c>
    </row>
    <row r="62" spans="1:8" ht="45" customHeight="1" x14ac:dyDescent="0.2">
      <c r="A62" s="29" t="s">
        <v>80</v>
      </c>
      <c r="B62" s="2" t="s">
        <v>29</v>
      </c>
      <c r="C62" s="2" t="s">
        <v>30</v>
      </c>
      <c r="D62" s="3" t="s">
        <v>21</v>
      </c>
      <c r="E62" s="11">
        <f>(7.5*0.9*1.6-E60)*20%</f>
        <v>1.6200000000000003</v>
      </c>
      <c r="F62" s="11">
        <v>1</v>
      </c>
      <c r="G62" s="43"/>
      <c r="H62" s="35">
        <f t="shared" si="5"/>
        <v>0</v>
      </c>
    </row>
    <row r="63" spans="1:8" ht="45" customHeight="1" x14ac:dyDescent="0.2">
      <c r="A63" s="29" t="s">
        <v>81</v>
      </c>
      <c r="B63" s="2" t="s">
        <v>31</v>
      </c>
      <c r="C63" s="2" t="s">
        <v>32</v>
      </c>
      <c r="D63" s="3" t="s">
        <v>16</v>
      </c>
      <c r="E63" s="17">
        <f>7.5*1.6*2</f>
        <v>24</v>
      </c>
      <c r="F63" s="11">
        <v>1</v>
      </c>
      <c r="G63" s="43"/>
      <c r="H63" s="35">
        <f t="shared" si="5"/>
        <v>0</v>
      </c>
    </row>
    <row r="64" spans="1:8" ht="30" customHeight="1" x14ac:dyDescent="0.2">
      <c r="A64" s="29" t="s">
        <v>147</v>
      </c>
      <c r="B64" s="2" t="s">
        <v>108</v>
      </c>
      <c r="C64" s="2" t="s">
        <v>126</v>
      </c>
      <c r="D64" s="3" t="s">
        <v>21</v>
      </c>
      <c r="E64" s="11">
        <f>7.5*0.9*0.4</f>
        <v>2.7</v>
      </c>
      <c r="F64" s="11">
        <v>1</v>
      </c>
      <c r="G64" s="43"/>
      <c r="H64" s="35">
        <f t="shared" si="5"/>
        <v>0</v>
      </c>
    </row>
    <row r="65" spans="1:8" ht="45" customHeight="1" x14ac:dyDescent="0.2">
      <c r="A65" s="29" t="s">
        <v>148</v>
      </c>
      <c r="B65" s="2" t="s">
        <v>33</v>
      </c>
      <c r="C65" s="2" t="s">
        <v>34</v>
      </c>
      <c r="D65" s="3" t="s">
        <v>21</v>
      </c>
      <c r="E65" s="11">
        <f>E61+E62</f>
        <v>8.1000000000000014</v>
      </c>
      <c r="F65" s="11">
        <v>1</v>
      </c>
      <c r="G65" s="43"/>
      <c r="H65" s="35">
        <f t="shared" si="5"/>
        <v>0</v>
      </c>
    </row>
    <row r="66" spans="1:8" ht="30" customHeight="1" x14ac:dyDescent="0.2">
      <c r="A66" s="29" t="s">
        <v>149</v>
      </c>
      <c r="B66" s="2" t="s">
        <v>35</v>
      </c>
      <c r="C66" s="2" t="s">
        <v>36</v>
      </c>
      <c r="D66" s="3" t="s">
        <v>21</v>
      </c>
      <c r="E66" s="11">
        <f>E65</f>
        <v>8.1000000000000014</v>
      </c>
      <c r="F66" s="11">
        <v>1</v>
      </c>
      <c r="G66" s="43"/>
      <c r="H66" s="35">
        <f t="shared" si="5"/>
        <v>0</v>
      </c>
    </row>
    <row r="67" spans="1:8" ht="30" customHeight="1" x14ac:dyDescent="0.2">
      <c r="A67" s="29" t="s">
        <v>150</v>
      </c>
      <c r="B67" s="2" t="s">
        <v>37</v>
      </c>
      <c r="C67" s="2" t="s">
        <v>127</v>
      </c>
      <c r="D67" s="3" t="s">
        <v>38</v>
      </c>
      <c r="E67" s="11">
        <v>1</v>
      </c>
      <c r="F67" s="11">
        <v>1</v>
      </c>
      <c r="G67" s="43"/>
      <c r="H67" s="35">
        <f t="shared" si="5"/>
        <v>0</v>
      </c>
    </row>
    <row r="68" spans="1:8" ht="30" customHeight="1" x14ac:dyDescent="0.2">
      <c r="A68" s="29" t="s">
        <v>151</v>
      </c>
      <c r="B68" s="2" t="s">
        <v>110</v>
      </c>
      <c r="C68" s="2" t="s">
        <v>111</v>
      </c>
      <c r="D68" s="3" t="s">
        <v>16</v>
      </c>
      <c r="E68" s="11">
        <f>7.1*2</f>
        <v>14.2</v>
      </c>
      <c r="F68" s="11">
        <v>1</v>
      </c>
      <c r="G68" s="43"/>
      <c r="H68" s="35">
        <f t="shared" si="5"/>
        <v>0</v>
      </c>
    </row>
    <row r="69" spans="1:8" ht="30" customHeight="1" x14ac:dyDescent="0.2">
      <c r="A69" s="29" t="s">
        <v>157</v>
      </c>
      <c r="B69" s="2" t="s">
        <v>112</v>
      </c>
      <c r="C69" s="2" t="s">
        <v>113</v>
      </c>
      <c r="D69" s="3" t="s">
        <v>16</v>
      </c>
      <c r="E69" s="11">
        <f>E68</f>
        <v>14.2</v>
      </c>
      <c r="F69" s="11">
        <v>1</v>
      </c>
      <c r="G69" s="43"/>
      <c r="H69" s="35">
        <f t="shared" si="5"/>
        <v>0</v>
      </c>
    </row>
    <row r="70" spans="1:8" ht="15" x14ac:dyDescent="0.2">
      <c r="A70" s="28" t="s">
        <v>82</v>
      </c>
      <c r="B70" s="1" t="s">
        <v>6</v>
      </c>
      <c r="C70" s="1" t="s">
        <v>128</v>
      </c>
      <c r="D70" s="8"/>
      <c r="E70" s="8"/>
      <c r="F70" s="8"/>
      <c r="G70" s="41"/>
      <c r="H70" s="42">
        <f>SUM(H71:H80)</f>
        <v>0</v>
      </c>
    </row>
    <row r="71" spans="1:8" ht="30" customHeight="1" x14ac:dyDescent="0.2">
      <c r="A71" s="29" t="s">
        <v>83</v>
      </c>
      <c r="B71" s="2" t="s">
        <v>129</v>
      </c>
      <c r="C71" s="2" t="s">
        <v>130</v>
      </c>
      <c r="D71" s="3" t="s">
        <v>42</v>
      </c>
      <c r="E71" s="11">
        <v>1</v>
      </c>
      <c r="F71" s="11">
        <v>1</v>
      </c>
      <c r="G71" s="43"/>
      <c r="H71" s="35">
        <f t="shared" ref="H71:H80" si="6">ROUND(E71*G71,2)</f>
        <v>0</v>
      </c>
    </row>
    <row r="72" spans="1:8" ht="30" customHeight="1" x14ac:dyDescent="0.2">
      <c r="A72" s="29" t="s">
        <v>84</v>
      </c>
      <c r="B72" s="2" t="s">
        <v>131</v>
      </c>
      <c r="C72" s="2" t="s">
        <v>162</v>
      </c>
      <c r="D72" s="3" t="s">
        <v>13</v>
      </c>
      <c r="E72" s="11">
        <v>7.5</v>
      </c>
      <c r="F72" s="11">
        <v>1</v>
      </c>
      <c r="G72" s="43"/>
      <c r="H72" s="35">
        <f t="shared" si="6"/>
        <v>0</v>
      </c>
    </row>
    <row r="73" spans="1:8" ht="30" customHeight="1" x14ac:dyDescent="0.2">
      <c r="A73" s="29" t="s">
        <v>85</v>
      </c>
      <c r="B73" s="2" t="s">
        <v>132</v>
      </c>
      <c r="C73" s="2" t="s">
        <v>133</v>
      </c>
      <c r="D73" s="3" t="s">
        <v>134</v>
      </c>
      <c r="E73" s="11">
        <f>1</f>
        <v>1</v>
      </c>
      <c r="F73" s="11">
        <v>1</v>
      </c>
      <c r="G73" s="43"/>
      <c r="H73" s="35">
        <f t="shared" si="6"/>
        <v>0</v>
      </c>
    </row>
    <row r="74" spans="1:8" ht="30" customHeight="1" x14ac:dyDescent="0.2">
      <c r="A74" s="29" t="s">
        <v>86</v>
      </c>
      <c r="B74" s="2" t="s">
        <v>135</v>
      </c>
      <c r="C74" s="2" t="s">
        <v>136</v>
      </c>
      <c r="D74" s="3" t="s">
        <v>45</v>
      </c>
      <c r="E74" s="11">
        <v>1</v>
      </c>
      <c r="F74" s="11">
        <v>1</v>
      </c>
      <c r="G74" s="43"/>
      <c r="H74" s="35">
        <f t="shared" si="6"/>
        <v>0</v>
      </c>
    </row>
    <row r="75" spans="1:8" ht="30" customHeight="1" x14ac:dyDescent="0.2">
      <c r="A75" s="29" t="s">
        <v>87</v>
      </c>
      <c r="B75" s="2" t="s">
        <v>137</v>
      </c>
      <c r="C75" s="2" t="s">
        <v>138</v>
      </c>
      <c r="D75" s="3" t="s">
        <v>45</v>
      </c>
      <c r="E75" s="11">
        <v>1</v>
      </c>
      <c r="F75" s="11">
        <v>1</v>
      </c>
      <c r="G75" s="43"/>
      <c r="H75" s="35">
        <f t="shared" si="6"/>
        <v>0</v>
      </c>
    </row>
    <row r="76" spans="1:8" ht="30" customHeight="1" x14ac:dyDescent="0.2">
      <c r="A76" s="29" t="s">
        <v>88</v>
      </c>
      <c r="B76" s="2" t="s">
        <v>139</v>
      </c>
      <c r="C76" s="2" t="s">
        <v>140</v>
      </c>
      <c r="D76" s="3" t="s">
        <v>42</v>
      </c>
      <c r="E76" s="11">
        <v>1</v>
      </c>
      <c r="F76" s="11">
        <v>1</v>
      </c>
      <c r="G76" s="43"/>
      <c r="H76" s="35">
        <f t="shared" si="6"/>
        <v>0</v>
      </c>
    </row>
    <row r="77" spans="1:8" ht="30" customHeight="1" x14ac:dyDescent="0.2">
      <c r="A77" s="29" t="s">
        <v>89</v>
      </c>
      <c r="B77" s="2" t="s">
        <v>141</v>
      </c>
      <c r="C77" s="2" t="s">
        <v>142</v>
      </c>
      <c r="D77" s="3" t="s">
        <v>13</v>
      </c>
      <c r="E77" s="11">
        <v>7.5</v>
      </c>
      <c r="F77" s="11">
        <v>1</v>
      </c>
      <c r="G77" s="43"/>
      <c r="H77" s="35">
        <f t="shared" si="6"/>
        <v>0</v>
      </c>
    </row>
    <row r="78" spans="1:8" ht="30" customHeight="1" x14ac:dyDescent="0.2">
      <c r="A78" s="29" t="s">
        <v>90</v>
      </c>
      <c r="B78" s="2" t="s">
        <v>143</v>
      </c>
      <c r="C78" s="2" t="s">
        <v>144</v>
      </c>
      <c r="D78" s="3" t="s">
        <v>50</v>
      </c>
      <c r="E78" s="11">
        <f>7.5/200</f>
        <v>3.7499999999999999E-2</v>
      </c>
      <c r="F78" s="11">
        <v>1</v>
      </c>
      <c r="G78" s="43"/>
      <c r="H78" s="35">
        <f t="shared" si="6"/>
        <v>0</v>
      </c>
    </row>
    <row r="79" spans="1:8" ht="30" customHeight="1" x14ac:dyDescent="0.2">
      <c r="A79" s="29" t="s">
        <v>91</v>
      </c>
      <c r="B79" s="2" t="s">
        <v>52</v>
      </c>
      <c r="C79" s="2" t="s">
        <v>54</v>
      </c>
      <c r="D79" s="3" t="s">
        <v>53</v>
      </c>
      <c r="E79" s="11">
        <f>7.5/200</f>
        <v>3.7499999999999999E-2</v>
      </c>
      <c r="F79" s="11">
        <v>1</v>
      </c>
      <c r="G79" s="43"/>
      <c r="H79" s="35">
        <f t="shared" si="6"/>
        <v>0</v>
      </c>
    </row>
    <row r="80" spans="1:8" ht="30" customHeight="1" x14ac:dyDescent="0.2">
      <c r="A80" s="29" t="s">
        <v>103</v>
      </c>
      <c r="B80" s="2" t="s">
        <v>55</v>
      </c>
      <c r="C80" s="2" t="s">
        <v>56</v>
      </c>
      <c r="D80" s="3" t="s">
        <v>53</v>
      </c>
      <c r="E80" s="11">
        <f>E79</f>
        <v>3.7499999999999999E-2</v>
      </c>
      <c r="F80" s="11">
        <v>1</v>
      </c>
      <c r="G80" s="43"/>
      <c r="H80" s="35">
        <f t="shared" si="6"/>
        <v>0</v>
      </c>
    </row>
    <row r="81" spans="1:8" s="24" customFormat="1" ht="20.100000000000001" customHeight="1" x14ac:dyDescent="0.25">
      <c r="A81" s="47" t="s">
        <v>158</v>
      </c>
      <c r="B81" s="47"/>
      <c r="C81" s="47"/>
      <c r="D81" s="47"/>
      <c r="E81" s="47"/>
      <c r="F81" s="47"/>
      <c r="G81" s="47"/>
      <c r="H81" s="35">
        <f>H70+H58+H56</f>
        <v>0</v>
      </c>
    </row>
    <row r="82" spans="1:8" s="24" customFormat="1" ht="20.100000000000001" customHeight="1" x14ac:dyDescent="0.25">
      <c r="A82" s="45" t="s">
        <v>101</v>
      </c>
      <c r="B82" s="45"/>
      <c r="C82" s="45"/>
      <c r="D82" s="45"/>
      <c r="E82" s="45"/>
      <c r="F82" s="45"/>
      <c r="G82" s="45"/>
      <c r="H82" s="33">
        <f>ROUND(H81*23%,2)</f>
        <v>0</v>
      </c>
    </row>
    <row r="83" spans="1:8" s="24" customFormat="1" ht="20.100000000000001" customHeight="1" x14ac:dyDescent="0.25">
      <c r="A83" s="45" t="s">
        <v>102</v>
      </c>
      <c r="B83" s="45"/>
      <c r="C83" s="45"/>
      <c r="D83" s="45"/>
      <c r="E83" s="45"/>
      <c r="F83" s="45"/>
      <c r="G83" s="45"/>
      <c r="H83" s="33">
        <f>H81+H82</f>
        <v>0</v>
      </c>
    </row>
    <row r="84" spans="1:8" s="24" customFormat="1" ht="20.100000000000001" customHeight="1" x14ac:dyDescent="0.25">
      <c r="A84" s="25"/>
      <c r="D84" s="25"/>
      <c r="E84" s="25"/>
      <c r="F84" s="25"/>
      <c r="G84" s="26"/>
      <c r="H84" s="44"/>
    </row>
    <row r="85" spans="1:8" s="24" customFormat="1" ht="20.100000000000001" customHeight="1" x14ac:dyDescent="0.25">
      <c r="A85" s="47" t="s">
        <v>159</v>
      </c>
      <c r="B85" s="47"/>
      <c r="C85" s="47"/>
      <c r="D85" s="47"/>
      <c r="E85" s="47"/>
      <c r="F85" s="47"/>
      <c r="G85" s="47"/>
      <c r="H85" s="33">
        <f>H81+H51</f>
        <v>0</v>
      </c>
    </row>
    <row r="86" spans="1:8" s="24" customFormat="1" ht="20.100000000000001" customHeight="1" x14ac:dyDescent="0.25">
      <c r="A86" s="45" t="s">
        <v>101</v>
      </c>
      <c r="B86" s="45"/>
      <c r="C86" s="45"/>
      <c r="D86" s="45"/>
      <c r="E86" s="45"/>
      <c r="F86" s="45"/>
      <c r="G86" s="45"/>
      <c r="H86" s="33">
        <f>ROUND(H85*23%,2)</f>
        <v>0</v>
      </c>
    </row>
    <row r="87" spans="1:8" s="24" customFormat="1" ht="20.100000000000001" customHeight="1" x14ac:dyDescent="0.25">
      <c r="A87" s="45" t="s">
        <v>102</v>
      </c>
      <c r="B87" s="45"/>
      <c r="C87" s="45"/>
      <c r="D87" s="45"/>
      <c r="E87" s="45"/>
      <c r="F87" s="45"/>
      <c r="G87" s="45"/>
      <c r="H87" s="33">
        <f>H85+H86</f>
        <v>0</v>
      </c>
    </row>
    <row r="88" spans="1:8" s="24" customFormat="1" ht="12.75" customHeight="1" x14ac:dyDescent="0.25">
      <c r="A88" s="25"/>
      <c r="D88" s="25"/>
      <c r="E88" s="25"/>
      <c r="F88" s="25"/>
      <c r="G88" s="26"/>
      <c r="H88" s="27"/>
    </row>
  </sheetData>
  <sheetProtection algorithmName="SHA-512" hashValue="nCOj54jdL9OEnk8Tg5lNs7e+NNCdfFqkuYo8vnjbSluIzIktwqA68K++Wk0vEysxEzRPICHkZgnFIZxsa9nFOQ==" saltValue="6yFmcbGFcFIMr7MoElIyUw==" spinCount="100000" sheet="1" objects="1" scenarios="1"/>
  <mergeCells count="13">
    <mergeCell ref="A55:G55"/>
    <mergeCell ref="A86:G86"/>
    <mergeCell ref="A87:G87"/>
    <mergeCell ref="A81:G81"/>
    <mergeCell ref="A82:G82"/>
    <mergeCell ref="A83:G83"/>
    <mergeCell ref="A85:G85"/>
    <mergeCell ref="A53:G53"/>
    <mergeCell ref="A1:H2"/>
    <mergeCell ref="A3:H3"/>
    <mergeCell ref="A51:G51"/>
    <mergeCell ref="A52:G52"/>
    <mergeCell ref="A5:H5"/>
  </mergeCells>
  <phoneticPr fontId="1" type="noConversion"/>
  <pageMargins left="0.7" right="0.7" top="0.75" bottom="0.75" header="0.5" footer="0.5"/>
  <pageSetup paperSize="9" scale="64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57442-24CD-40D4-86AA-70588086152F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Przedmiar</vt:lpstr>
      <vt:lpstr>Arkusz1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Janina</dc:creator>
  <cp:lastModifiedBy>Lucyna Chorągwicka-Batkiewicz</cp:lastModifiedBy>
  <cp:lastPrinted>2024-06-21T10:36:33Z</cp:lastPrinted>
  <dcterms:created xsi:type="dcterms:W3CDTF">2013-03-19T16:38:19Z</dcterms:created>
  <dcterms:modified xsi:type="dcterms:W3CDTF">2024-07-03T05:49:04Z</dcterms:modified>
</cp:coreProperties>
</file>