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tkiewicz\AppData\Local\Microsoft\Windows\INetCache\Content.Outlook\K66BYP7N\"/>
    </mc:Choice>
  </mc:AlternateContent>
  <xr:revisionPtr revIDLastSave="0" documentId="13_ncr:1_{3B13B15D-C98B-4E8B-937C-758D457D179C}" xr6:coauthVersionLast="47" xr6:coauthVersionMax="47" xr10:uidLastSave="{00000000-0000-0000-0000-000000000000}"/>
  <bookViews>
    <workbookView xWindow="-120" yWindow="-120" windowWidth="29040" windowHeight="15990" firstSheet="1" activeTab="1" autoFilterDateGrouping="0" xr2:uid="{B2188F64-1669-45A0-AEC4-2D0EF79DD399}"/>
  </bookViews>
  <sheets>
    <sheet name="Przedmiar " sheetId="1" r:id="rId1"/>
    <sheet name="PRZEDMIAR_KOSZTORYS OFERTOWY" sheetId="4" r:id="rId2"/>
  </sheets>
  <definedNames>
    <definedName name="_xlnm.Print_Area" localSheetId="0">'Przedmiar '!$A$1:$I$137</definedName>
    <definedName name="_xlnm.Print_Area" localSheetId="1">'PRZEDMIAR_KOSZTORYS OFERTOWY'!$A$1:$K$270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" l="1"/>
  <c r="J216" i="4"/>
  <c r="J149" i="4"/>
  <c r="J91" i="4"/>
  <c r="J17" i="4"/>
  <c r="W36" i="4"/>
  <c r="R130" i="4"/>
  <c r="V184" i="4"/>
  <c r="V185" i="4"/>
  <c r="U186" i="4"/>
  <c r="V186" i="4" s="1"/>
  <c r="T187" i="4"/>
  <c r="U191" i="4"/>
  <c r="V191" i="4" s="1"/>
  <c r="S192" i="4"/>
  <c r="U192" i="4"/>
  <c r="S239" i="4"/>
  <c r="J252" i="4"/>
  <c r="F7" i="4"/>
  <c r="F8" i="4"/>
  <c r="F13" i="4"/>
  <c r="F14" i="4" s="1"/>
  <c r="F15" i="4"/>
  <c r="F16" i="4" s="1"/>
  <c r="F18" i="4"/>
  <c r="F19" i="4"/>
  <c r="F20" i="4"/>
  <c r="F21" i="4"/>
  <c r="F22" i="4"/>
  <c r="F27" i="4"/>
  <c r="F32" i="4"/>
  <c r="F34" i="4"/>
  <c r="F29" i="4" s="1"/>
  <c r="F30" i="4" s="1"/>
  <c r="F38" i="4"/>
  <c r="F39" i="4" s="1"/>
  <c r="F44" i="4"/>
  <c r="F46" i="4"/>
  <c r="F56" i="4"/>
  <c r="F68" i="4"/>
  <c r="F69" i="4"/>
  <c r="F74" i="4"/>
  <c r="F75" i="4"/>
  <c r="F76" i="4"/>
  <c r="F78" i="4" s="1"/>
  <c r="F80" i="4"/>
  <c r="F81" i="4"/>
  <c r="F85" i="4"/>
  <c r="F86" i="4"/>
  <c r="F90" i="4"/>
  <c r="F99" i="4"/>
  <c r="F104" i="4"/>
  <c r="F107" i="4"/>
  <c r="F109" i="4"/>
  <c r="F100" i="4" s="1"/>
  <c r="F101" i="4" s="1"/>
  <c r="F114" i="4"/>
  <c r="F115" i="4"/>
  <c r="F121" i="4"/>
  <c r="F122" i="4"/>
  <c r="F123" i="4"/>
  <c r="F140" i="4"/>
  <c r="F141" i="4"/>
  <c r="F150" i="4" s="1"/>
  <c r="F151" i="4" s="1"/>
  <c r="F143" i="4"/>
  <c r="F146" i="4"/>
  <c r="F158" i="4"/>
  <c r="F163" i="4"/>
  <c r="F165" i="4"/>
  <c r="F160" i="4" s="1"/>
  <c r="F161" i="4" s="1"/>
  <c r="F169" i="4"/>
  <c r="F170" i="4" s="1"/>
  <c r="F171" i="4"/>
  <c r="F172" i="4" s="1"/>
  <c r="F173" i="4" s="1"/>
  <c r="F179" i="4"/>
  <c r="F181" i="4"/>
  <c r="F182" i="4"/>
  <c r="F183" i="4"/>
  <c r="F184" i="4"/>
  <c r="F186" i="4"/>
  <c r="F189" i="4"/>
  <c r="F193" i="4"/>
  <c r="F198" i="4"/>
  <c r="F199" i="4"/>
  <c r="F209" i="4"/>
  <c r="F220" i="4" s="1"/>
  <c r="F210" i="4"/>
  <c r="F211" i="4"/>
  <c r="F217" i="4" s="1"/>
  <c r="F218" i="4" s="1"/>
  <c r="F215" i="4"/>
  <c r="F224" i="4"/>
  <c r="F229" i="4"/>
  <c r="F232" i="4"/>
  <c r="F234" i="4"/>
  <c r="F225" i="4" s="1"/>
  <c r="F226" i="4" s="1"/>
  <c r="F227" i="4" s="1"/>
  <c r="F239" i="4"/>
  <c r="F241" i="4" s="1"/>
  <c r="F247" i="4"/>
  <c r="F248" i="4" s="1"/>
  <c r="F249" i="4" s="1"/>
  <c r="I7" i="4"/>
  <c r="I8" i="4"/>
  <c r="I9" i="4"/>
  <c r="I19" i="4"/>
  <c r="I20" i="4"/>
  <c r="I25" i="4"/>
  <c r="I28" i="4"/>
  <c r="I102" i="4" s="1"/>
  <c r="I29" i="4"/>
  <c r="I30" i="4"/>
  <c r="I31" i="4"/>
  <c r="I37" i="4"/>
  <c r="I111" i="4" s="1"/>
  <c r="I53" i="4"/>
  <c r="I54" i="4"/>
  <c r="I56" i="4"/>
  <c r="I57" i="4"/>
  <c r="I58" i="4"/>
  <c r="I59" i="4"/>
  <c r="I60" i="4"/>
  <c r="I61" i="4"/>
  <c r="I62" i="4"/>
  <c r="I63" i="4"/>
  <c r="I64" i="4"/>
  <c r="I65" i="4"/>
  <c r="I66" i="4"/>
  <c r="I70" i="4"/>
  <c r="I71" i="4"/>
  <c r="I84" i="4"/>
  <c r="I85" i="4"/>
  <c r="I93" i="4"/>
  <c r="I94" i="4"/>
  <c r="I99" i="4"/>
  <c r="I103" i="4"/>
  <c r="I109" i="4"/>
  <c r="I114" i="4"/>
  <c r="I117" i="4"/>
  <c r="I126" i="4"/>
  <c r="I127" i="4"/>
  <c r="I139" i="4"/>
  <c r="I140" i="4"/>
  <c r="I151" i="4"/>
  <c r="I152" i="4"/>
  <c r="I168" i="4"/>
  <c r="I178" i="4"/>
  <c r="I182" i="4"/>
  <c r="I185" i="4"/>
  <c r="I188" i="4"/>
  <c r="I197" i="4"/>
  <c r="I218" i="4"/>
  <c r="I219" i="4"/>
  <c r="I227" i="4"/>
  <c r="I228" i="4"/>
  <c r="I234" i="4"/>
  <c r="I236" i="4"/>
  <c r="I239" i="4"/>
  <c r="I242" i="4"/>
  <c r="I252" i="4"/>
  <c r="I253" i="4"/>
  <c r="J191" i="4"/>
  <c r="J192" i="4"/>
  <c r="J246" i="4"/>
  <c r="J245" i="4"/>
  <c r="J244" i="4"/>
  <c r="J243" i="4"/>
  <c r="J240" i="4"/>
  <c r="J231" i="4"/>
  <c r="J230" i="4"/>
  <c r="J206" i="4"/>
  <c r="J205" i="4"/>
  <c r="J201" i="4"/>
  <c r="J196" i="4"/>
  <c r="J195" i="4"/>
  <c r="J194" i="4"/>
  <c r="J190" i="4"/>
  <c r="J189" i="4"/>
  <c r="J187" i="4"/>
  <c r="J186" i="4"/>
  <c r="J184" i="4"/>
  <c r="J183" i="4"/>
  <c r="J181" i="4"/>
  <c r="J180" i="4"/>
  <c r="J179" i="4"/>
  <c r="J177" i="4"/>
  <c r="J176" i="4"/>
  <c r="J170" i="4"/>
  <c r="J169" i="4"/>
  <c r="J154" i="4"/>
  <c r="J153" i="4"/>
  <c r="J148" i="4"/>
  <c r="J253" i="4"/>
  <c r="J242" i="4"/>
  <c r="J197" i="4"/>
  <c r="J188" i="4"/>
  <c r="J185" i="4"/>
  <c r="J182" i="4"/>
  <c r="J178" i="4"/>
  <c r="J139" i="4"/>
  <c r="V192" i="4" l="1"/>
  <c r="J251" i="4"/>
  <c r="U187" i="4"/>
  <c r="V187" i="4"/>
  <c r="F35" i="4"/>
  <c r="F212" i="4"/>
  <c r="F213" i="4" s="1"/>
  <c r="F175" i="4"/>
  <c r="F87" i="4"/>
  <c r="F88" i="4" s="1"/>
  <c r="F142" i="4"/>
  <c r="F144" i="4" s="1"/>
  <c r="F145" i="4" s="1"/>
  <c r="F219" i="4"/>
  <c r="F110" i="4"/>
  <c r="F202" i="4"/>
  <c r="F203" i="4" s="1"/>
  <c r="F190" i="4"/>
  <c r="F235" i="4"/>
  <c r="F166" i="4"/>
  <c r="F103" i="4"/>
  <c r="F102" i="4"/>
  <c r="F111" i="4" s="1"/>
  <c r="F228" i="4"/>
  <c r="F236" i="4" s="1"/>
  <c r="F147" i="4"/>
  <c r="F92" i="4"/>
  <c r="F10" i="4"/>
  <c r="F152" i="4"/>
  <c r="F79" i="4"/>
  <c r="F89" i="4" l="1"/>
  <c r="F112" i="4"/>
  <c r="F214" i="4"/>
  <c r="F221" i="4"/>
  <c r="F222" i="4" s="1"/>
  <c r="F96" i="4"/>
  <c r="F97" i="4" s="1"/>
  <c r="F155" i="4"/>
  <c r="F156" i="4" s="1"/>
  <c r="F159" i="4" s="1"/>
  <c r="F237" i="4"/>
  <c r="F204" i="4"/>
  <c r="F12" i="4"/>
  <c r="F23" i="4"/>
  <c r="F11" i="4"/>
  <c r="F94" i="4"/>
  <c r="F93" i="4"/>
  <c r="F162" i="4" l="1"/>
  <c r="F168" i="4" s="1"/>
  <c r="F167" i="4" s="1"/>
  <c r="F31" i="4"/>
  <c r="F28" i="4"/>
  <c r="F37" i="4" s="1"/>
  <c r="F36" i="4" s="1"/>
  <c r="F24" i="4"/>
  <c r="K172" i="4" l="1"/>
  <c r="K115" i="4"/>
  <c r="E247" i="4"/>
  <c r="J247" i="4" s="1"/>
  <c r="J239" i="4"/>
  <c r="E234" i="4"/>
  <c r="J234" i="4" s="1"/>
  <c r="E232" i="4"/>
  <c r="J232" i="4" s="1"/>
  <c r="E229" i="4"/>
  <c r="J229" i="4" s="1"/>
  <c r="E224" i="4"/>
  <c r="J224" i="4" s="1"/>
  <c r="E215" i="4"/>
  <c r="J215" i="4" s="1"/>
  <c r="E211" i="4"/>
  <c r="E210" i="4"/>
  <c r="J210" i="4" s="1"/>
  <c r="E209" i="4"/>
  <c r="J209" i="4" s="1"/>
  <c r="E204" i="4"/>
  <c r="J204" i="4" s="1"/>
  <c r="E203" i="4"/>
  <c r="J203" i="4" s="1"/>
  <c r="E202" i="4"/>
  <c r="J202" i="4" s="1"/>
  <c r="E200" i="4"/>
  <c r="J200" i="4" s="1"/>
  <c r="E199" i="4"/>
  <c r="J199" i="4" s="1"/>
  <c r="E198" i="4"/>
  <c r="J198" i="4" s="1"/>
  <c r="E193" i="4"/>
  <c r="J193" i="4" s="1"/>
  <c r="E175" i="4"/>
  <c r="J175" i="4" s="1"/>
  <c r="E171" i="4"/>
  <c r="E163" i="4"/>
  <c r="J163" i="4" s="1"/>
  <c r="E165" i="4"/>
  <c r="J165" i="4" s="1"/>
  <c r="E158" i="4"/>
  <c r="J158" i="4" s="1"/>
  <c r="E146" i="4"/>
  <c r="J146" i="4" s="1"/>
  <c r="E143" i="4"/>
  <c r="J143" i="4" s="1"/>
  <c r="E141" i="4"/>
  <c r="E140" i="4"/>
  <c r="J140" i="4" s="1"/>
  <c r="K191" i="4"/>
  <c r="K192" i="4"/>
  <c r="J105" i="4"/>
  <c r="J77" i="4"/>
  <c r="J72" i="4"/>
  <c r="J68" i="4"/>
  <c r="J49" i="4"/>
  <c r="J42" i="4"/>
  <c r="K248" i="4"/>
  <c r="J70" i="4"/>
  <c r="E123" i="4"/>
  <c r="E122" i="4"/>
  <c r="E121" i="4"/>
  <c r="E115" i="4"/>
  <c r="E109" i="4"/>
  <c r="E110" i="4" s="1"/>
  <c r="E107" i="4"/>
  <c r="E104" i="4"/>
  <c r="E99" i="4"/>
  <c r="E90" i="4"/>
  <c r="E86" i="4"/>
  <c r="E92" i="4" s="1"/>
  <c r="E94" i="4" s="1"/>
  <c r="E85" i="4"/>
  <c r="E87" i="4" l="1"/>
  <c r="E88" i="4" s="1"/>
  <c r="J88" i="4" s="1"/>
  <c r="J22" i="4"/>
  <c r="J40" i="4"/>
  <c r="J48" i="4"/>
  <c r="J69" i="4"/>
  <c r="J122" i="4"/>
  <c r="J50" i="4"/>
  <c r="J74" i="4"/>
  <c r="J106" i="4"/>
  <c r="K7" i="4"/>
  <c r="J21" i="4"/>
  <c r="J41" i="4"/>
  <c r="J46" i="4"/>
  <c r="J52" i="4"/>
  <c r="J73" i="4"/>
  <c r="J95" i="4"/>
  <c r="J110" i="4"/>
  <c r="J126" i="4"/>
  <c r="J118" i="4"/>
  <c r="E147" i="4"/>
  <c r="J147" i="4" s="1"/>
  <c r="E160" i="4"/>
  <c r="J160" i="4" s="1"/>
  <c r="E166" i="4"/>
  <c r="E220" i="4"/>
  <c r="J220" i="4" s="1"/>
  <c r="E248" i="4"/>
  <c r="J90" i="4"/>
  <c r="E150" i="4"/>
  <c r="J150" i="4" s="1"/>
  <c r="J141" i="4"/>
  <c r="J107" i="4"/>
  <c r="J115" i="4"/>
  <c r="E172" i="4"/>
  <c r="J171" i="4"/>
  <c r="E217" i="4"/>
  <c r="J217" i="4" s="1"/>
  <c r="J211" i="4"/>
  <c r="E241" i="4"/>
  <c r="J241" i="4" s="1"/>
  <c r="E225" i="4"/>
  <c r="J225" i="4" s="1"/>
  <c r="E235" i="4"/>
  <c r="J235" i="4" s="1"/>
  <c r="E212" i="4"/>
  <c r="J212" i="4" s="1"/>
  <c r="E142" i="4"/>
  <c r="J142" i="4" s="1"/>
  <c r="J76" i="4"/>
  <c r="J86" i="4"/>
  <c r="J119" i="4"/>
  <c r="J43" i="4"/>
  <c r="J47" i="4"/>
  <c r="J51" i="4"/>
  <c r="J67" i="4"/>
  <c r="J71" i="4"/>
  <c r="J75" i="4"/>
  <c r="J92" i="4"/>
  <c r="J104" i="4"/>
  <c r="J116" i="4"/>
  <c r="J120" i="4"/>
  <c r="J121" i="4"/>
  <c r="J123" i="4"/>
  <c r="E100" i="4"/>
  <c r="E101" i="4" s="1"/>
  <c r="E103" i="4" s="1"/>
  <c r="E89" i="4"/>
  <c r="J89" i="4" s="1"/>
  <c r="E93" i="4"/>
  <c r="E84" i="4"/>
  <c r="E15" i="4"/>
  <c r="E16" i="4" s="1"/>
  <c r="J16" i="4" s="1"/>
  <c r="E13" i="4"/>
  <c r="E9" i="4"/>
  <c r="J9" i="4" s="1"/>
  <c r="E8" i="4"/>
  <c r="J8" i="4" s="1"/>
  <c r="E7" i="4"/>
  <c r="E32" i="4"/>
  <c r="J32" i="4" s="1"/>
  <c r="E27" i="4"/>
  <c r="J27" i="4" s="1"/>
  <c r="E34" i="4"/>
  <c r="E38" i="4"/>
  <c r="E44" i="4"/>
  <c r="J44" i="4" s="1"/>
  <c r="K71" i="4"/>
  <c r="E81" i="4"/>
  <c r="E80" i="4"/>
  <c r="E78" i="4"/>
  <c r="E79" i="4" s="1"/>
  <c r="E56" i="4"/>
  <c r="V35" i="4" s="1"/>
  <c r="X35" i="4" s="1"/>
  <c r="E55" i="4"/>
  <c r="V34" i="4" s="1"/>
  <c r="J87" i="4" l="1"/>
  <c r="E96" i="4"/>
  <c r="E97" i="4" s="1"/>
  <c r="E161" i="4"/>
  <c r="J161" i="4" s="1"/>
  <c r="V36" i="4"/>
  <c r="X34" i="4"/>
  <c r="X36" i="4" s="1"/>
  <c r="J80" i="4"/>
  <c r="J13" i="4"/>
  <c r="J97" i="4"/>
  <c r="J7" i="4"/>
  <c r="E102" i="4"/>
  <c r="E111" i="4" s="1"/>
  <c r="E112" i="4" s="1"/>
  <c r="J112" i="4" s="1"/>
  <c r="J78" i="4"/>
  <c r="J38" i="4"/>
  <c r="J55" i="4"/>
  <c r="J39" i="4"/>
  <c r="E219" i="4"/>
  <c r="J219" i="4" s="1"/>
  <c r="J100" i="4"/>
  <c r="E152" i="4"/>
  <c r="J152" i="4" s="1"/>
  <c r="E218" i="4"/>
  <c r="J218" i="4" s="1"/>
  <c r="J172" i="4"/>
  <c r="E173" i="4"/>
  <c r="J173" i="4" s="1"/>
  <c r="J101" i="4"/>
  <c r="J15" i="4"/>
  <c r="J166" i="4"/>
  <c r="E249" i="4"/>
  <c r="J249" i="4" s="1"/>
  <c r="J248" i="4"/>
  <c r="E151" i="4"/>
  <c r="J151" i="4" s="1"/>
  <c r="E20" i="4"/>
  <c r="E29" i="4"/>
  <c r="E30" i="4" s="1"/>
  <c r="J34" i="4"/>
  <c r="J96" i="4"/>
  <c r="J79" i="4"/>
  <c r="J81" i="4"/>
  <c r="E155" i="4"/>
  <c r="J155" i="4" s="1"/>
  <c r="E226" i="4"/>
  <c r="J226" i="4" s="1"/>
  <c r="E213" i="4"/>
  <c r="J213" i="4" s="1"/>
  <c r="E214" i="4"/>
  <c r="J214" i="4" s="1"/>
  <c r="E221" i="4"/>
  <c r="J221" i="4" s="1"/>
  <c r="E144" i="4"/>
  <c r="J144" i="4" s="1"/>
  <c r="E35" i="4"/>
  <c r="J35" i="4" s="1"/>
  <c r="E19" i="4"/>
  <c r="J19" i="4" s="1"/>
  <c r="E18" i="4"/>
  <c r="J18" i="4" s="1"/>
  <c r="E10" i="4"/>
  <c r="J10" i="4" s="1"/>
  <c r="E14" i="4"/>
  <c r="J14" i="4" s="1"/>
  <c r="J250" i="4"/>
  <c r="J127" i="4"/>
  <c r="J99" i="4"/>
  <c r="K195" i="4"/>
  <c r="K9" i="4"/>
  <c r="J85" i="4"/>
  <c r="J84" i="4"/>
  <c r="K139" i="4"/>
  <c r="J238" i="4" l="1"/>
  <c r="J125" i="4"/>
  <c r="J124" i="4" s="1"/>
  <c r="J29" i="4"/>
  <c r="E156" i="4"/>
  <c r="E159" i="4" s="1"/>
  <c r="E12" i="4"/>
  <c r="J12" i="4" s="1"/>
  <c r="E11" i="4"/>
  <c r="J11" i="4" s="1"/>
  <c r="J30" i="4"/>
  <c r="K25" i="4"/>
  <c r="J25" i="4"/>
  <c r="E227" i="4"/>
  <c r="J227" i="4" s="1"/>
  <c r="E222" i="4"/>
  <c r="E145" i="4"/>
  <c r="J145" i="4" s="1"/>
  <c r="E23" i="4"/>
  <c r="K240" i="4"/>
  <c r="J117" i="4"/>
  <c r="J60" i="4"/>
  <c r="J59" i="4"/>
  <c r="J58" i="4"/>
  <c r="J66" i="4"/>
  <c r="J65" i="4"/>
  <c r="J64" i="4"/>
  <c r="J63" i="4"/>
  <c r="J62" i="4"/>
  <c r="J61" i="4"/>
  <c r="K52" i="4"/>
  <c r="K247" i="4"/>
  <c r="K225" i="4"/>
  <c r="K224" i="4"/>
  <c r="K246" i="4"/>
  <c r="K245" i="4"/>
  <c r="K244" i="4"/>
  <c r="K243" i="4"/>
  <c r="K232" i="4"/>
  <c r="K231" i="4"/>
  <c r="K230" i="4"/>
  <c r="K229" i="4"/>
  <c r="K220" i="4"/>
  <c r="K210" i="4"/>
  <c r="K209" i="4"/>
  <c r="K206" i="4"/>
  <c r="K205" i="4"/>
  <c r="J159" i="4" l="1"/>
  <c r="J156" i="4"/>
  <c r="J138" i="4" s="1"/>
  <c r="E162" i="4"/>
  <c r="J162" i="4" s="1"/>
  <c r="J222" i="4"/>
  <c r="J208" i="4" s="1"/>
  <c r="E28" i="4"/>
  <c r="J23" i="4"/>
  <c r="E228" i="4"/>
  <c r="J228" i="4" s="1"/>
  <c r="J223" i="4" s="1"/>
  <c r="E31" i="4"/>
  <c r="J31" i="4" s="1"/>
  <c r="E24" i="4"/>
  <c r="J24" i="4" s="1"/>
  <c r="K242" i="4"/>
  <c r="K31" i="4"/>
  <c r="K239" i="4"/>
  <c r="K241" i="4"/>
  <c r="K215" i="4"/>
  <c r="K235" i="4"/>
  <c r="K234" i="4"/>
  <c r="K212" i="4"/>
  <c r="K214" i="4"/>
  <c r="K213" i="4"/>
  <c r="K211" i="4"/>
  <c r="E168" i="4" l="1"/>
  <c r="J157" i="4"/>
  <c r="J28" i="4"/>
  <c r="J26" i="4" s="1"/>
  <c r="E37" i="4"/>
  <c r="E236" i="4"/>
  <c r="J236" i="4" s="1"/>
  <c r="K227" i="4"/>
  <c r="K249" i="4"/>
  <c r="K226" i="4"/>
  <c r="K219" i="4"/>
  <c r="K217" i="4"/>
  <c r="K218" i="4"/>
  <c r="K222" i="4"/>
  <c r="K221" i="4"/>
  <c r="E167" i="4" l="1"/>
  <c r="J167" i="4" s="1"/>
  <c r="J168" i="4"/>
  <c r="E36" i="4"/>
  <c r="J36" i="4" s="1"/>
  <c r="E237" i="4"/>
  <c r="J237" i="4" s="1"/>
  <c r="J233" i="4" s="1"/>
  <c r="J207" i="4" s="1"/>
  <c r="K228" i="4"/>
  <c r="K223" i="4" s="1"/>
  <c r="K238" i="4"/>
  <c r="K208" i="4"/>
  <c r="J164" i="4" l="1"/>
  <c r="K237" i="4"/>
  <c r="K236" i="4" l="1"/>
  <c r="K233" i="4" s="1"/>
  <c r="K207" i="4" s="1"/>
  <c r="K184" i="4"/>
  <c r="L206" i="4"/>
  <c r="L205" i="4"/>
  <c r="K188" i="4" l="1"/>
  <c r="K179" i="4"/>
  <c r="K193" i="4"/>
  <c r="K72" i="4"/>
  <c r="K175" i="4" l="1"/>
  <c r="K198" i="4"/>
  <c r="K181" i="4"/>
  <c r="K197" i="4" l="1"/>
  <c r="K143" i="4" l="1"/>
  <c r="K140" i="4"/>
  <c r="K252" i="4"/>
  <c r="K253" i="4"/>
  <c r="K51" i="4"/>
  <c r="K196" i="4"/>
  <c r="K204" i="4"/>
  <c r="K201" i="4"/>
  <c r="K200" i="4"/>
  <c r="K203" i="4"/>
  <c r="K199" i="4"/>
  <c r="K194" i="4"/>
  <c r="K190" i="4"/>
  <c r="K189" i="4"/>
  <c r="K187" i="4"/>
  <c r="K186" i="4"/>
  <c r="K185" i="4"/>
  <c r="K183" i="4"/>
  <c r="K180" i="4"/>
  <c r="K177" i="4"/>
  <c r="K176" i="4"/>
  <c r="K173" i="4"/>
  <c r="K171" i="4"/>
  <c r="K170" i="4"/>
  <c r="K169" i="4"/>
  <c r="K163" i="4"/>
  <c r="K158" i="4"/>
  <c r="K154" i="4"/>
  <c r="K153" i="4"/>
  <c r="K148" i="4"/>
  <c r="K147" i="4"/>
  <c r="K146" i="4"/>
  <c r="K84" i="4"/>
  <c r="K85" i="4"/>
  <c r="K95" i="4"/>
  <c r="J94" i="4"/>
  <c r="J93" i="4" l="1"/>
  <c r="J83" i="4" s="1"/>
  <c r="K178" i="4"/>
  <c r="J174" i="4"/>
  <c r="J137" i="4" s="1"/>
  <c r="J254" i="4" s="1"/>
  <c r="K182" i="4"/>
  <c r="K90" i="4"/>
  <c r="K88" i="4"/>
  <c r="K145" i="4"/>
  <c r="K202" i="4"/>
  <c r="K251" i="4"/>
  <c r="K250" i="4" s="1"/>
  <c r="K141" i="4"/>
  <c r="K165" i="4"/>
  <c r="K160" i="4"/>
  <c r="K161" i="4"/>
  <c r="K166" i="4"/>
  <c r="K92" i="4"/>
  <c r="K86" i="4"/>
  <c r="K67" i="4"/>
  <c r="J56" i="4"/>
  <c r="J57" i="4"/>
  <c r="K21" i="4"/>
  <c r="K22" i="4"/>
  <c r="J20" i="4"/>
  <c r="K77" i="4"/>
  <c r="K73" i="4"/>
  <c r="K66" i="4"/>
  <c r="K64" i="4"/>
  <c r="K63" i="4"/>
  <c r="K62" i="4"/>
  <c r="K61" i="4"/>
  <c r="K60" i="4"/>
  <c r="K59" i="4"/>
  <c r="K58" i="4"/>
  <c r="K55" i="4"/>
  <c r="K50" i="4"/>
  <c r="K49" i="4"/>
  <c r="K48" i="4"/>
  <c r="K47" i="4"/>
  <c r="K43" i="4"/>
  <c r="K42" i="4"/>
  <c r="K41" i="4"/>
  <c r="K40" i="4"/>
  <c r="J6" i="4" l="1"/>
  <c r="K174" i="4"/>
  <c r="T182" i="4" s="1"/>
  <c r="K57" i="4"/>
  <c r="J264" i="4"/>
  <c r="K144" i="4"/>
  <c r="K142" i="4"/>
  <c r="K152" i="4"/>
  <c r="K151" i="4"/>
  <c r="K150" i="4"/>
  <c r="K89" i="4"/>
  <c r="K87" i="4"/>
  <c r="K93" i="4"/>
  <c r="K94" i="4"/>
  <c r="K81" i="4"/>
  <c r="K80" i="4"/>
  <c r="K74" i="4"/>
  <c r="K75" i="4"/>
  <c r="K56" i="4"/>
  <c r="K70" i="4"/>
  <c r="K69" i="4"/>
  <c r="K68" i="4"/>
  <c r="U256" i="4" l="1"/>
  <c r="S257" i="4"/>
  <c r="S258" i="4" s="1"/>
  <c r="J255" i="4"/>
  <c r="J265" i="4" s="1"/>
  <c r="J266" i="4" s="1"/>
  <c r="K156" i="4"/>
  <c r="K155" i="4"/>
  <c r="K78" i="4"/>
  <c r="K76" i="4"/>
  <c r="K79" i="4"/>
  <c r="K14" i="4"/>
  <c r="K65" i="4"/>
  <c r="K123" i="4"/>
  <c r="K122" i="4"/>
  <c r="K121" i="4"/>
  <c r="K120" i="4"/>
  <c r="K119" i="4"/>
  <c r="K118" i="4"/>
  <c r="K117" i="4"/>
  <c r="K116" i="4"/>
  <c r="K112" i="4"/>
  <c r="K110" i="4"/>
  <c r="K107" i="4"/>
  <c r="K106" i="4"/>
  <c r="K105" i="4"/>
  <c r="K104" i="4"/>
  <c r="K101" i="4"/>
  <c r="K100" i="4"/>
  <c r="K99" i="4"/>
  <c r="K97" i="4"/>
  <c r="K96" i="4"/>
  <c r="K46" i="4"/>
  <c r="K44" i="4"/>
  <c r="J256" i="4" l="1"/>
  <c r="K138" i="4"/>
  <c r="K83" i="4"/>
  <c r="K39" i="4"/>
  <c r="K38" i="4"/>
  <c r="K13" i="4" l="1"/>
  <c r="K32" i="4"/>
  <c r="K27" i="4"/>
  <c r="K8" i="4"/>
  <c r="K127" i="4"/>
  <c r="K126" i="4"/>
  <c r="F45" i="1"/>
  <c r="J37" i="4"/>
  <c r="J102" i="4"/>
  <c r="J103" i="4"/>
  <c r="J98" i="4" l="1"/>
  <c r="K103" i="4"/>
  <c r="K102" i="4"/>
  <c r="J111" i="4"/>
  <c r="J33" i="4"/>
  <c r="K20" i="4"/>
  <c r="K18" i="4"/>
  <c r="K19" i="4"/>
  <c r="K34" i="4"/>
  <c r="K15" i="4"/>
  <c r="K16" i="4"/>
  <c r="K35" i="4"/>
  <c r="F77" i="1"/>
  <c r="K111" i="4" l="1"/>
  <c r="K29" i="4"/>
  <c r="K30" i="4"/>
  <c r="K10" i="4"/>
  <c r="K12" i="4"/>
  <c r="K11" i="4"/>
  <c r="J114" i="4"/>
  <c r="J113" i="4" s="1"/>
  <c r="J54" i="4"/>
  <c r="F106" i="1"/>
  <c r="F100" i="1"/>
  <c r="F99" i="1"/>
  <c r="F95" i="1"/>
  <c r="F102" i="1"/>
  <c r="F93" i="1" s="1"/>
  <c r="F109" i="1"/>
  <c r="F94" i="1" s="1"/>
  <c r="F58" i="1"/>
  <c r="I54" i="1"/>
  <c r="I49" i="1"/>
  <c r="F80" i="1"/>
  <c r="F59" i="1"/>
  <c r="F28" i="1"/>
  <c r="K114" i="4" l="1"/>
  <c r="K54" i="4"/>
  <c r="K23" i="4"/>
  <c r="K162" i="4"/>
  <c r="K24" i="4"/>
  <c r="K28" i="4"/>
  <c r="F104" i="1"/>
  <c r="F91" i="1"/>
  <c r="F24" i="1"/>
  <c r="I139" i="1"/>
  <c r="I138" i="1"/>
  <c r="I137" i="1"/>
  <c r="I136" i="1"/>
  <c r="I135" i="1" s="1"/>
  <c r="I134" i="1"/>
  <c r="I133" i="1"/>
  <c r="I132" i="1"/>
  <c r="I131" i="1"/>
  <c r="I130" i="1"/>
  <c r="I129" i="1"/>
  <c r="F126" i="1"/>
  <c r="I126" i="1" s="1"/>
  <c r="F125" i="1"/>
  <c r="I125" i="1" s="1"/>
  <c r="F122" i="1"/>
  <c r="F124" i="1" s="1"/>
  <c r="I124" i="1" s="1"/>
  <c r="I117" i="1"/>
  <c r="F116" i="1"/>
  <c r="I116" i="1" s="1"/>
  <c r="I115" i="1"/>
  <c r="I114" i="1"/>
  <c r="I113" i="1"/>
  <c r="I112" i="1"/>
  <c r="I111" i="1"/>
  <c r="F110" i="1"/>
  <c r="I110" i="1" s="1"/>
  <c r="F118" i="1"/>
  <c r="F107" i="1"/>
  <c r="I100" i="1"/>
  <c r="I99" i="1"/>
  <c r="I98" i="1"/>
  <c r="I97" i="1"/>
  <c r="I96" i="1"/>
  <c r="I88" i="1"/>
  <c r="F84" i="1"/>
  <c r="I84" i="1" s="1"/>
  <c r="I83" i="1"/>
  <c r="I79" i="1"/>
  <c r="F78" i="1"/>
  <c r="I78" i="1" s="1"/>
  <c r="I77" i="1"/>
  <c r="I65" i="1"/>
  <c r="F63" i="1"/>
  <c r="I63" i="1" s="1"/>
  <c r="F62" i="1"/>
  <c r="I62" i="1" s="1"/>
  <c r="I61" i="1"/>
  <c r="I60" i="1"/>
  <c r="I59" i="1"/>
  <c r="I58" i="1"/>
  <c r="I57" i="1"/>
  <c r="I56" i="1"/>
  <c r="I55" i="1"/>
  <c r="I53" i="1"/>
  <c r="I52" i="1"/>
  <c r="I51" i="1"/>
  <c r="I50" i="1"/>
  <c r="I48" i="1"/>
  <c r="I47" i="1"/>
  <c r="I46" i="1"/>
  <c r="F36" i="1"/>
  <c r="I36" i="1" s="1"/>
  <c r="I44" i="1"/>
  <c r="I43" i="1"/>
  <c r="I42" i="1"/>
  <c r="I41" i="1"/>
  <c r="I40" i="1"/>
  <c r="I39" i="1"/>
  <c r="I38" i="1"/>
  <c r="I37" i="1"/>
  <c r="F34" i="1"/>
  <c r="I34" i="1" s="1"/>
  <c r="I33" i="1"/>
  <c r="I32" i="1"/>
  <c r="I31" i="1"/>
  <c r="I30" i="1"/>
  <c r="I28" i="1"/>
  <c r="F29" i="1"/>
  <c r="I29" i="1" s="1"/>
  <c r="I22" i="1"/>
  <c r="I12" i="1"/>
  <c r="I11" i="1"/>
  <c r="I10" i="1"/>
  <c r="I8" i="1"/>
  <c r="I7" i="1"/>
  <c r="J109" i="4"/>
  <c r="J108" i="4" s="1"/>
  <c r="J82" i="4" s="1"/>
  <c r="J53" i="4"/>
  <c r="K109" i="4" l="1"/>
  <c r="K6" i="4"/>
  <c r="K53" i="4"/>
  <c r="J45" i="4"/>
  <c r="J5" i="4" s="1"/>
  <c r="J128" i="4" s="1"/>
  <c r="K159" i="4"/>
  <c r="K157" i="4" s="1"/>
  <c r="K37" i="4"/>
  <c r="K125" i="4"/>
  <c r="K124" i="4" s="1"/>
  <c r="F90" i="1"/>
  <c r="I90" i="1" s="1"/>
  <c r="F103" i="1"/>
  <c r="I103" i="1" s="1"/>
  <c r="I45" i="1"/>
  <c r="F64" i="1"/>
  <c r="I64" i="1" s="1"/>
  <c r="I16" i="1"/>
  <c r="F67" i="1"/>
  <c r="F85" i="1"/>
  <c r="I85" i="1" s="1"/>
  <c r="I122" i="1"/>
  <c r="I128" i="1"/>
  <c r="I127" i="1" s="1"/>
  <c r="I21" i="1"/>
  <c r="I17" i="1"/>
  <c r="I14" i="1"/>
  <c r="F123" i="1"/>
  <c r="I123" i="1" s="1"/>
  <c r="I107" i="1"/>
  <c r="I106" i="1"/>
  <c r="I94" i="1"/>
  <c r="F119" i="1"/>
  <c r="I118" i="1"/>
  <c r="I80" i="1"/>
  <c r="I9" i="1"/>
  <c r="F71" i="1"/>
  <c r="F86" i="1"/>
  <c r="I95" i="1"/>
  <c r="I102" i="1"/>
  <c r="I109" i="1"/>
  <c r="J260" i="4" l="1"/>
  <c r="K168" i="4"/>
  <c r="K167" i="4"/>
  <c r="K36" i="4"/>
  <c r="I121" i="1"/>
  <c r="K45" i="4"/>
  <c r="I24" i="1"/>
  <c r="F25" i="1"/>
  <c r="I25" i="1" s="1"/>
  <c r="I13" i="1"/>
  <c r="I6" i="1" s="1"/>
  <c r="I20" i="1"/>
  <c r="F66" i="1"/>
  <c r="I66" i="1" s="1"/>
  <c r="F69" i="1"/>
  <c r="I69" i="1" s="1"/>
  <c r="F68" i="1"/>
  <c r="I68" i="1" s="1"/>
  <c r="I67" i="1"/>
  <c r="I119" i="1"/>
  <c r="F120" i="1"/>
  <c r="I120" i="1" s="1"/>
  <c r="I71" i="1"/>
  <c r="F75" i="1"/>
  <c r="I75" i="1" s="1"/>
  <c r="F74" i="1"/>
  <c r="I74" i="1" s="1"/>
  <c r="F76" i="1"/>
  <c r="I76" i="1" s="1"/>
  <c r="F72" i="1"/>
  <c r="I86" i="1"/>
  <c r="F87" i="1"/>
  <c r="I87" i="1" s="1"/>
  <c r="I93" i="1"/>
  <c r="I91" i="1"/>
  <c r="F92" i="1"/>
  <c r="I92" i="1" s="1"/>
  <c r="J268" i="4" l="1"/>
  <c r="J129" i="4"/>
  <c r="K164" i="4"/>
  <c r="F27" i="1"/>
  <c r="F26" i="1" s="1"/>
  <c r="I26" i="1" s="1"/>
  <c r="I35" i="1"/>
  <c r="I18" i="1"/>
  <c r="I19" i="1"/>
  <c r="I108" i="1"/>
  <c r="F73" i="1"/>
  <c r="I73" i="1" s="1"/>
  <c r="I72" i="1"/>
  <c r="I82" i="1"/>
  <c r="I89" i="1"/>
  <c r="I104" i="1"/>
  <c r="F105" i="1"/>
  <c r="I105" i="1" s="1"/>
  <c r="K113" i="4"/>
  <c r="J261" i="4" l="1"/>
  <c r="J269" i="4" s="1"/>
  <c r="J130" i="4"/>
  <c r="K137" i="4"/>
  <c r="K254" i="4" s="1"/>
  <c r="R254" i="4" s="1"/>
  <c r="K98" i="4"/>
  <c r="I27" i="1"/>
  <c r="I23" i="1" s="1"/>
  <c r="I70" i="1"/>
  <c r="I15" i="1"/>
  <c r="I101" i="1"/>
  <c r="I81" i="1" s="1"/>
  <c r="K26" i="4"/>
  <c r="J262" i="4" l="1"/>
  <c r="J270" i="4" s="1"/>
  <c r="K264" i="4"/>
  <c r="K255" i="4"/>
  <c r="K256" i="4" s="1"/>
  <c r="I5" i="1"/>
  <c r="I140" i="1" s="1"/>
  <c r="I141" i="1" s="1"/>
  <c r="I142" i="1" s="1"/>
  <c r="K33" i="4"/>
  <c r="K5" i="4" s="1"/>
  <c r="K265" i="4" l="1"/>
  <c r="K266" i="4" s="1"/>
  <c r="K108" i="4"/>
  <c r="K82" i="4" l="1"/>
  <c r="K128" i="4" s="1"/>
  <c r="T130" i="4" s="1"/>
  <c r="K260" i="4" l="1"/>
  <c r="K268" i="4" s="1"/>
  <c r="K129" i="4"/>
  <c r="K130" i="4" l="1"/>
  <c r="K261" i="4"/>
  <c r="K269" i="4" l="1"/>
  <c r="K262" i="4"/>
  <c r="K270" i="4" s="1"/>
</calcChain>
</file>

<file path=xl/sharedStrings.xml><?xml version="1.0" encoding="utf-8"?>
<sst xmlns="http://schemas.openxmlformats.org/spreadsheetml/2006/main" count="1535" uniqueCount="470">
  <si>
    <t/>
  </si>
  <si>
    <t>Podstawa</t>
  </si>
  <si>
    <t>Opis</t>
  </si>
  <si>
    <t>Jedn.</t>
  </si>
  <si>
    <t>Ilość</t>
  </si>
  <si>
    <t>Krotn.</t>
  </si>
  <si>
    <t>1</t>
  </si>
  <si>
    <t>Grupa</t>
  </si>
  <si>
    <t>1.1</t>
  </si>
  <si>
    <t>Remont  sieci wodociagowej</t>
  </si>
  <si>
    <t>Element</t>
  </si>
  <si>
    <t>1.1.1</t>
  </si>
  <si>
    <t>KNKRB 6/806/2</t>
  </si>
  <si>
    <t>m</t>
  </si>
  <si>
    <t>Rozebranie krawężników betonowych podsypka cementowo - piask.+ obrzeża pod krawężniki</t>
  </si>
  <si>
    <t>m2</t>
  </si>
  <si>
    <t>KNR 231/803/4</t>
  </si>
  <si>
    <t>Rozebranie nawierzchni z mieszanek mineralno-bitumicznych, mechanicznie, dodatek za każdy dalszy 1 cm (5 cm)</t>
  </si>
  <si>
    <t>KNR 231/804/3</t>
  </si>
  <si>
    <t>Rozebranie nawierzchni, z tłucznia mechanicznie, grubość nawierzchni 15·cm</t>
  </si>
  <si>
    <t>KNR 231/805/1</t>
  </si>
  <si>
    <t>Rozebranie nawierzchni z kostki kamiennej nieregularnej, na podsypce piaskowej, ręcznie, wysokość kostki 8·cm</t>
  </si>
  <si>
    <t>KNR 231/801/3</t>
  </si>
  <si>
    <t>Rozebranie podbudowy, betonowej mechanicznie, grubość 12·cm</t>
  </si>
  <si>
    <t>KNR 404/1103/4</t>
  </si>
  <si>
    <t>m3</t>
  </si>
  <si>
    <t>Wywiezienie gruzu z terenu rozbiórki przy mechanicznym załadowaniu i wyładowaniu, transport samochodem samowyładowczym na odległość 1 km</t>
  </si>
  <si>
    <t>KNR 404/1103/5</t>
  </si>
  <si>
    <t>Wywiezienie gruzu z terenu rozbiórki przy mechanicznym załadowaniu i wyładowaniu, nakłądy uzupełniające na każdy dalszy rozpoczęty 1·km ponad 1·km transportu do 3-ch km</t>
  </si>
  <si>
    <t>1.1.2</t>
  </si>
  <si>
    <t>Wykopy SST.0.00, SST.2.00</t>
  </si>
  <si>
    <t>KNNR 1/111/2</t>
  </si>
  <si>
    <t>km</t>
  </si>
  <si>
    <t>Roboty pomiarowe przy liniowych robotach ziemnych, trasa dróg w terenie pagórkowatym lub górskim</t>
  </si>
  <si>
    <t>KNNR 1/210/3 (2)</t>
  </si>
  <si>
    <t>Wykopy oraz przekopy wykonywane na odkład koparkami podsiębiernymi, koparka 0,25-0,60, głębokość do 3·m, kategoria gruntu III-IV</t>
  </si>
  <si>
    <t>KNNR 1/202/6</t>
  </si>
  <si>
    <t>Roboty ziemne wykonywane koparkami podsiębiernymi, z transportem urobku samochodami samowyładowczymi na odległość do 1·km, koparka 0,40 m3, kategoria  gruntu III-IV</t>
  </si>
  <si>
    <t>KNNR 1/208/2 (1)</t>
  </si>
  <si>
    <t>Nakłady uzupełniające do tablic za każdy dalszy rozpoczęty 1 km odległości transportu ponad 1 km samochodami samowyładowczymi, drogi o nawierzchni utwardzonej, kategoria  gruntu I-IV, samochód do 5·t do 3-ch km</t>
  </si>
  <si>
    <t>KNNR 1/307/4</t>
  </si>
  <si>
    <t>Wykopy liniowe szerokości 0,8-2,5·m o ścianach pionowych z ręcznym wydobyciem urobku w gruntach suchych, głębokości do 3,0·m, kategoria gruntu III-IV 20%</t>
  </si>
  <si>
    <t>KNNR 1/313/1</t>
  </si>
  <si>
    <t>Umocnienie ścian wykopów wraz z rozbiórką palami szalunkowymi stalowymi (wypraskami) w gruntach suchych, szerokość do 1·m, umocnienie pełne w gruncie kategorii I-IV, głębokość do 3·m - szalunki stalowe</t>
  </si>
  <si>
    <t>KNNR 11/501/5 (1)</t>
  </si>
  <si>
    <t>Podłoża i obsypki z kruszyw naturalnych dowiezionych,pospóla wymiana gruntu</t>
  </si>
  <si>
    <t>1.1.3</t>
  </si>
  <si>
    <t>Zasypki, podsypki i obsypki SST 0.00 ,SST 2.00</t>
  </si>
  <si>
    <t>KNR 228/501/9 (1)</t>
  </si>
  <si>
    <t>Podsypka,obsypka rurociągu kruszywem dowiezionym, piasek</t>
  </si>
  <si>
    <t>KNR 201/320/5 (1)</t>
  </si>
  <si>
    <t>Ręczne zasypywanie wykopów liniowych o ścianach pionowych, głębokość do 3.0·m, kategoria gruntu III-IV, szerokość wykopu 0.8-1.5·m</t>
  </si>
  <si>
    <t>KNR 201/236/2</t>
  </si>
  <si>
    <t>Zagęszczanie nasypów, ubijakami mechanicznymi, grunt spoisty kategorii III-IV</t>
  </si>
  <si>
    <t>KNR 201/230/1 (1)</t>
  </si>
  <si>
    <t>Zasypywanie wykopów spycharkami, przemieszczanie na odległość do 10·m, grunt kategorii I-III, spycharka 55·kW (75·KM)</t>
  </si>
  <si>
    <t>KNR 201/505/1</t>
  </si>
  <si>
    <t>Plantowanie powierzchni gruntu rodzimego, ręczne, kategoria gruntu I-III</t>
  </si>
  <si>
    <t>KNR 221/404/1</t>
  </si>
  <si>
    <t>ha</t>
  </si>
  <si>
    <t>Wykonanie trawników parkowych siewem, bez nawożenia, kategoria gruntu I-II   (R=  0,955, M=  1,000, S=  1,000)</t>
  </si>
  <si>
    <t>KNRW 218/903/1</t>
  </si>
  <si>
    <t>kpl</t>
  </si>
  <si>
    <t>Montaż i demontaż konstrukcji podwieszeń rurociągów i kanałów, montaż: rozpiętość 4,0·m</t>
  </si>
  <si>
    <t>KNRW 218/903/6</t>
  </si>
  <si>
    <t>Montaż i demontaż konstrukcji podwieszeń rurociągów i kanałów, demontaż: rozpiętość 4,0·m</t>
  </si>
  <si>
    <t>KNRW 218/901/1</t>
  </si>
  <si>
    <t>Montaż i demontaż konstrukcji podwieszeń kabli energetycznych i telekomunikacyjnych, typ lekki, montaż: rozpiętość 4,0·m</t>
  </si>
  <si>
    <t>KNRW 218/901/6</t>
  </si>
  <si>
    <t>Montaż i demontaż konstrukcji podwieszeń kabli energetycznych i telekomunikacyjnych, typ lekki, demontaż: rozpiętość 4,0·m</t>
  </si>
  <si>
    <t>KNNR 5/113/1</t>
  </si>
  <si>
    <t>Rury ochronne, z PVC, do Fi 80·mm -zabzpieczenie kabli rurami Arota</t>
  </si>
  <si>
    <t>1.1.4</t>
  </si>
  <si>
    <t>KNNR 8/107/2</t>
  </si>
  <si>
    <t>Demontaż rurociągu żeliwnego ciśnieniowego kielichowego (uszczelnienie folią aluminiową), w wykopie, Fi·100·mm</t>
  </si>
  <si>
    <t>KNNR 8/120/2</t>
  </si>
  <si>
    <t>szt</t>
  </si>
  <si>
    <t>Demontaż zasuwy żeliwnej w wykopie, zasuwa kielichowa, Fi·100·,150 mm, hydrantu analogia</t>
  </si>
  <si>
    <t>Kalkulacja indywidualna</t>
  </si>
  <si>
    <t>KNNR 4/1112/3 (2)</t>
  </si>
  <si>
    <t>Zasuwa typu "E" kołnierzowa z obudową montowana na rurociągach PVC i PE, Fi·150·mm</t>
  </si>
  <si>
    <t>KNNR 4/1112/2 (2)</t>
  </si>
  <si>
    <t>Zasuwa typu "E" kołnierzowa z obudową montowana na rurociągach PVC i PE, Fi·100·mm</t>
  </si>
  <si>
    <t>KNNR 4/1112/2 (1)</t>
  </si>
  <si>
    <t>KNNR 4/1009/7 (1)</t>
  </si>
  <si>
    <t>Montaż rurociągów z rur polietylenowych (PE, PEHD), Fi·160·mm (wzmocnione RC,TS)</t>
  </si>
  <si>
    <t>KNNR 4/1009/4 (1)</t>
  </si>
  <si>
    <t>Montaż rurociągów z rur polietylenowych (PE, PEHD), Fi·110·mm PN 16 (wzmocnione RC,TS)</t>
  </si>
  <si>
    <t>KNNR 4/1014/4</t>
  </si>
  <si>
    <t>KNNR 4/1014/3</t>
  </si>
  <si>
    <t>KNR 228/305/4 (8)</t>
  </si>
  <si>
    <t>Kształtki PE na rurociągach PE, Fi·160·mm, trójniki 160/160/90</t>
  </si>
  <si>
    <t>KNR 228/305/3 (8)</t>
  </si>
  <si>
    <t>KNR 228/305/4 (3)</t>
  </si>
  <si>
    <t>KNR 228/305/4 (1)</t>
  </si>
  <si>
    <t>KNR 228/305/3 (1)</t>
  </si>
  <si>
    <t>KNR 228/305/2 (1)</t>
  </si>
  <si>
    <t>KNR 228/305/3 (4)</t>
  </si>
  <si>
    <t>Kształtki PE na rurociągach PE, Fi·110·mm, łuki 30°</t>
  </si>
  <si>
    <t>KNR 228/305/4 (2)</t>
  </si>
  <si>
    <t>KNNR 4/1010/7 (2)</t>
  </si>
  <si>
    <t>złącze</t>
  </si>
  <si>
    <t>Połączenie rur polietylenowych, ciśnieniowych PE, PEHD metodą zgrzewania czołowego, Fi 160·mm, z agregatem</t>
  </si>
  <si>
    <t>KNNR 4/1010/4 (2)</t>
  </si>
  <si>
    <t>Połączenie rur polietylenowych, ciśnieniowych PE, PEHD metodą zgrzewania czołowego, Fi 110·mm, z agregatem</t>
  </si>
  <si>
    <t>mb</t>
  </si>
  <si>
    <t>koszt przewiertu sterowanego dla rury DN 110  bez kosztu rury</t>
  </si>
  <si>
    <t>KNNR 4/1119/1</t>
  </si>
  <si>
    <t>Hydranty pożarowe i zdroje uliczne, podziemne Fi·80·mm</t>
  </si>
  <si>
    <t>KNNR 4/1119/3</t>
  </si>
  <si>
    <t>Hydranty pożarowe i zdroje uliczne, nadziemne Fi·80·mm</t>
  </si>
  <si>
    <t>KNNR 4/1407/1</t>
  </si>
  <si>
    <t>Deskowanie ław fundamentowych anlogia deskowanie bloków oprowych</t>
  </si>
  <si>
    <t>KNNR 4/1408/1</t>
  </si>
  <si>
    <t>Układanie mieszanki betonowej w konstrukcjach, ręcznie, transport japonkami: ławy, bloki oporowe</t>
  </si>
  <si>
    <t>KNR 219/219/1</t>
  </si>
  <si>
    <t>Oznakowanie trasy wodociagu  ułożonego w ziemi taśmą z tworzywa sztucznego z wkłądką metalową   (R=  0,955, M=  1,000, S=  1,000)</t>
  </si>
  <si>
    <t>KNR 228/315/2</t>
  </si>
  <si>
    <t>Oznakowanie trasy rurociągu tabliczkami, na słupku betonowym</t>
  </si>
  <si>
    <t>KNNR 4/1612/1</t>
  </si>
  <si>
    <t>odcinek</t>
  </si>
  <si>
    <t>Jednokrotne płukanie sieci wodociągowej, (rurociąg 200·m) Dn·do 150·mm</t>
  </si>
  <si>
    <t>KNNR 4/1611/1</t>
  </si>
  <si>
    <t>Dezynfekcja rurociągów sieci wodociągowej, (rurociąg 200·m) Dn·do 150·mm</t>
  </si>
  <si>
    <t>KNNR 4/1606/2</t>
  </si>
  <si>
    <t>próba</t>
  </si>
  <si>
    <t>Próba wodna szczelności sieci wodociągowych z rur typu HOBAS, PCW, PVC, PE, PEHD, (rurociąg 200·m) Dn·160·mm</t>
  </si>
  <si>
    <t>KNNR 4/1606/1</t>
  </si>
  <si>
    <t>Próba wodna szczelności sieci wodociągowych z rur typu HOBAS, PCW, PVC, PE, PEHD, (rurociąg 200·m) Dn·90-110·mm</t>
  </si>
  <si>
    <t>1.1.5</t>
  </si>
  <si>
    <t>Odtworzenie nawierzchni SST.0.00, SST4.00</t>
  </si>
  <si>
    <t>KNR 231/102/1</t>
  </si>
  <si>
    <t>Koryta wykonywane na poszerzeniach, na jezdniach, grunt kategorii II-IV, głębokość 10·cm</t>
  </si>
  <si>
    <t>KNR 231/114/1</t>
  </si>
  <si>
    <t>Podbudowy z kruszyw, pospółka, warstwa dolna, grubość warstwy po zagęszczeniu 20·cm</t>
  </si>
  <si>
    <t>KNR 231/114/2</t>
  </si>
  <si>
    <t>Podbudowy z kruszyw, pospółka, warstwa dolna, dodatek za każdy dalszy 1·cm grubości do 30cm</t>
  </si>
  <si>
    <t>KNR 231/312/2</t>
  </si>
  <si>
    <t>Nawierzchnie z mieszanek mineralno-bitumicznych żwirowo-piaskowych, warstwa asfaltowa wiążąca, dodatek za każdy dalszy 1·cm do 6-ciu cm</t>
  </si>
  <si>
    <t>KNR 231/312/5</t>
  </si>
  <si>
    <t>Nawierzchnie z mieszanek mineralno-bitumicznych żwirowo-piaskowych, warstwa asfaltowa ścieralna, grubości 3·cm</t>
  </si>
  <si>
    <t>KNR 231/312/6</t>
  </si>
  <si>
    <t>Nawierzchnie z mieszanek mineralno-bitumicznych żwirowo-piaskowych, warstwa asfaltowa ścieralna, dodatek za każdy dalszy 1·cm do 6-ciu cm</t>
  </si>
  <si>
    <t>KNR 231/301/1</t>
  </si>
  <si>
    <t>Nawierzchnie z kostki kamiennej na podsypce żwirowej, kostka rzędowa wysokości 8·cm, na podsypce istniejącej 80% z odzysku analogia</t>
  </si>
  <si>
    <t>KNR 231/308/1</t>
  </si>
  <si>
    <t>Nawierzchnie betonowe, warstwa dolna, grubości 12·cm do20 cm</t>
  </si>
  <si>
    <t>KNR 231/403/4</t>
  </si>
  <si>
    <t>Krawężniki betonowe, wystające 20x30·cm na podsypce cementowo-piaskowej</t>
  </si>
  <si>
    <t>KNR 231/407/1</t>
  </si>
  <si>
    <t>Obrzeża betonowe, 20x6·cm na podsypce piaskowej z wypełnieniem spoin zaprawą cementową</t>
  </si>
  <si>
    <t>2.1.1</t>
  </si>
  <si>
    <t>Rozebranie krawężników betonowych podsypka cementowo - piask.,obrzeża pod krawężniki</t>
  </si>
  <si>
    <t>KNNR 6/802/1</t>
  </si>
  <si>
    <t>Rozebranie nawierzchni, tłuczeń grubość 15·cm, ręcznie</t>
  </si>
  <si>
    <t>Przejscia pod zywopłotamii i przeszkodami - metodą podkopu</t>
  </si>
  <si>
    <t>2.1.2</t>
  </si>
  <si>
    <t>Nakłady uzupełniające do tablic za każdy dalszy rozpoczęty 1 km odległości transportu ponad 1 km samochodami samowyładowczymi, drogi o nawierzchni utwardzonej, kategoria  gruntu I-IV, samochód do 5·t do 2-ch km</t>
  </si>
  <si>
    <t>KNNR 1/210/3 (1)</t>
  </si>
  <si>
    <t>Wykopy oraz przekopy wykonywane na odkład koparkami podsiębiernymi, koparka 0,25-0,60, głębokość do 3·m, kategoria gruntu III-IV 80%</t>
  </si>
  <si>
    <t>Wykopy liniowe szerokości 0,8-2,5·m o ścianach pionowych z ręcznym wydobyciem urobku w gruntach suchych, głębokości do 3,0·m, kategoria gruntu III-IV -20%</t>
  </si>
  <si>
    <t>Rury ochronne, z PVC, do Fi 80·mm analogia zabezpieczenie kabli rurami arota</t>
  </si>
  <si>
    <t>2.1.3</t>
  </si>
  <si>
    <t>KNR 201/230/2 (2)</t>
  </si>
  <si>
    <t>Zasypywanie wykopów spycharkami, przemieszczanie na odległość do 10·m, grunt kategorii IV, spycharka 74·kW (100·KM)</t>
  </si>
  <si>
    <t>2.1.4</t>
  </si>
  <si>
    <t>KNR 218/907/2</t>
  </si>
  <si>
    <t>Przyłącze wodociągowe z rur ciśnieniowych PE łączonych metodą zgrzewania, Fi·90·mm - analogia DN 75</t>
  </si>
  <si>
    <t>KNNR 4/111/7 (2)</t>
  </si>
  <si>
    <t>Rurociągi z tworzyw sztucznych (PP, PE, PB) o połączeniach zgrzewanych na ścianach w budynkach mieszkalnych, Fi_zew. 75·mm</t>
  </si>
  <si>
    <t>KNNR 4/1011/2 (2)</t>
  </si>
  <si>
    <t>Połączenie rur polietylenowych, ciśnieniowych za pomocą kształtek elektrooporowych, kształtka PE-HD, 75·mm</t>
  </si>
  <si>
    <t>KNNR 4/1702/2 (1)</t>
  </si>
  <si>
    <t>Nasady rurowe (opaski) montowane na istniejących rurociągach, rurociągi Fi·100·mm,analogia DN 100,90mm</t>
  </si>
  <si>
    <t>Zasuwa typu "E" kołnierzowa z obudową montowana na rurociągach PVC i PE, Fi·80·mm analogia DN 75</t>
  </si>
  <si>
    <t>KNR 401/208/12</t>
  </si>
  <si>
    <t>Przebicie otworów w elementach z betonu o powierzchni do 0,05·m2, beton żużlowy, grubość do 40·cm</t>
  </si>
  <si>
    <t>KNR 401/206/2</t>
  </si>
  <si>
    <t>Zabetonowanie otworów w stropach i ścianach, otwory do 0,1·m2, głębokość ponad 10·cm</t>
  </si>
  <si>
    <t>KNR 218/802/1 (2)</t>
  </si>
  <si>
    <t>Próba szczelności sieci wodociągowych, rurociąg do Dn·100·mm, rury PVC (odcinek 200·m) DN 75</t>
  </si>
  <si>
    <t>2.1.5</t>
  </si>
  <si>
    <t>Koryta wykonywane na poszerzeniach, na jezdniach, grunt kategorii II-IV, głębokość 10·cm do 20cm</t>
  </si>
  <si>
    <t>3</t>
  </si>
  <si>
    <t>3.1</t>
  </si>
  <si>
    <t>Roboty budowlano - montażowe SST 0.00, SST 3.00</t>
  </si>
  <si>
    <t>3.1.1</t>
  </si>
  <si>
    <t>Kształtki PE na rurociągach PE, Fi·160·mm, kolana 90° PE SDR 11</t>
  </si>
  <si>
    <t>3.1.2</t>
  </si>
  <si>
    <t>Kształtki PE na rurociągach PE, Fi·160·mm, kolana 45° analogia redukcja DN 1160/110 PE SDR 11</t>
  </si>
  <si>
    <t>3.1.3</t>
  </si>
  <si>
    <t>Kształtki PE na rurociągach PE, Fi·110·mm,analogia tuleja kołnierzowa do rur PE DN 110 z kołnierzem stalowym</t>
  </si>
  <si>
    <t>3.1.4</t>
  </si>
  <si>
    <t>kpl.</t>
  </si>
  <si>
    <t>Koszt przesuniecia zestawu hydroforowego wraz z zasilaniem hydroforu</t>
  </si>
  <si>
    <t>3.1.5</t>
  </si>
  <si>
    <t>3.1.6</t>
  </si>
  <si>
    <t>4</t>
  </si>
  <si>
    <t>4.1</t>
  </si>
  <si>
    <t>4.1.1</t>
  </si>
  <si>
    <t>Koszt pomiarów geodezyjnych</t>
  </si>
  <si>
    <t>4.1.2</t>
  </si>
  <si>
    <t>koszt dostarczenia wody na czas prowadzenia robót , baypasy, powiadomienie mieszkanców</t>
  </si>
  <si>
    <t>4.1.3</t>
  </si>
  <si>
    <t>Organizacja ruchu i zajecie pasa drogowego</t>
  </si>
  <si>
    <t>xxx</t>
  </si>
  <si>
    <t>KNNR 5/721/1</t>
  </si>
  <si>
    <t>Cięcie nawierzchni mechanicznie, z mas mineralno-asfaltowych, głębokość 5·cm</t>
  </si>
  <si>
    <t>kalkulacja
indywidualna</t>
  </si>
  <si>
    <t>Spięcie nowego odcinka sieci zDN160  z istniejącą siecią w wężle W2</t>
  </si>
  <si>
    <t>Przepięcie istniejącego hydrantu na nowy odcinek sieci DN110</t>
  </si>
  <si>
    <t>Rozbiórka elementów dróg i ulic</t>
  </si>
  <si>
    <t>Wymiana przyłączy wodociągowych</t>
  </si>
  <si>
    <t>cena jedn. 
/zł/</t>
  </si>
  <si>
    <t>wartość
/zł/</t>
  </si>
  <si>
    <r>
      <t xml:space="preserve">Kształtki PE na rurociągach PE, Fi·160·mm, kolana 45° </t>
    </r>
    <r>
      <rPr>
        <b/>
        <sz val="11"/>
        <color rgb="FF000000"/>
        <rFont val="Calibri"/>
        <family val="2"/>
        <charset val="238"/>
      </rPr>
      <t xml:space="preserve">analogia </t>
    </r>
    <r>
      <rPr>
        <sz val="11"/>
        <color indexed="8"/>
        <rFont val="Calibri"/>
        <family val="2"/>
      </rPr>
      <t>tuleja kołnierzowa do rur PE DN 160 z kołnierzem stalowym</t>
    </r>
  </si>
  <si>
    <r>
      <t xml:space="preserve">Kształtki PE na rurociągach PE, Fi·110·mm, kolana 45° </t>
    </r>
    <r>
      <rPr>
        <b/>
        <sz val="11"/>
        <color rgb="FF000000"/>
        <rFont val="Calibri"/>
        <family val="2"/>
        <charset val="238"/>
      </rPr>
      <t>anlogia</t>
    </r>
    <r>
      <rPr>
        <sz val="11"/>
        <color indexed="8"/>
        <rFont val="Calibri"/>
        <family val="2"/>
      </rPr>
      <t xml:space="preserve"> tuleja kołnierzowa do rur PE DN 110 z kołnierzem stalowym</t>
    </r>
  </si>
  <si>
    <r>
      <t xml:space="preserve">Kształtki żeliwne ciśnieniowe kołnierzowe, Fi·150·mm- </t>
    </r>
    <r>
      <rPr>
        <b/>
        <sz val="11"/>
        <color rgb="FF000000"/>
        <rFont val="Calibri"/>
        <family val="2"/>
        <charset val="238"/>
      </rPr>
      <t>analogia</t>
    </r>
    <r>
      <rPr>
        <sz val="11"/>
        <color indexed="8"/>
        <rFont val="Calibri"/>
        <family val="2"/>
      </rPr>
      <t xml:space="preserve"> trójnik równo-przelotowy 150/150/150</t>
    </r>
  </si>
  <si>
    <t xml:space="preserve">Kształtki PE na rurociągach PE, Fi·160·mm, kolana 90° </t>
  </si>
  <si>
    <t xml:space="preserve">Przyłącza wodociagowe - roboty montażowe </t>
  </si>
  <si>
    <t xml:space="preserve">Zasypki, podsypki i obsypki </t>
  </si>
  <si>
    <t>1.1.6</t>
  </si>
  <si>
    <t>1.1.7</t>
  </si>
  <si>
    <t>1.2.1</t>
  </si>
  <si>
    <t>1.2</t>
  </si>
  <si>
    <t>1.2.2</t>
  </si>
  <si>
    <t>1.2.3</t>
  </si>
  <si>
    <t>1.2.4</t>
  </si>
  <si>
    <t>1.2.5</t>
  </si>
  <si>
    <t>1.2.6</t>
  </si>
  <si>
    <t>1.2.7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</si>
  <si>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</si>
  <si>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</si>
  <si>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</si>
  <si>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</si>
  <si>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</si>
  <si>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</si>
  <si>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</si>
  <si>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</si>
  <si>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</si>
  <si>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</si>
  <si>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</si>
  <si>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</si>
  <si>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</si>
  <si>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</si>
  <si>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</si>
  <si>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</si>
  <si>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</si>
  <si>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</si>
  <si>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</si>
  <si>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</si>
  <si>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</si>
  <si>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</si>
  <si>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</si>
  <si>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</si>
  <si>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</si>
  <si>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</si>
  <si>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</si>
  <si>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</si>
  <si>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</si>
  <si>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</si>
  <si>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</si>
  <si>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</si>
  <si>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</si>
  <si>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</si>
  <si>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</si>
  <si>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</si>
  <si>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</si>
  <si>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</si>
  <si>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</si>
  <si>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</si>
  <si>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</si>
  <si>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</si>
  <si>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1.4.30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</si>
  <si>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</si>
  <si>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</si>
  <si>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</si>
  <si>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</si>
  <si>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</si>
  <si>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</si>
  <si>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</si>
  <si>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</si>
  <si>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</si>
  <si>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2.</t>
  </si>
  <si>
    <t>2.1.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</si>
  <si>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</si>
  <si>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</si>
  <si>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</si>
  <si>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</si>
  <si>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</si>
  <si>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</si>
  <si>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</si>
  <si>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</si>
  <si>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</si>
  <si>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</si>
  <si>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</si>
  <si>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</si>
  <si>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2.3</t>
  </si>
  <si>
    <t>2.3.1</t>
  </si>
  <si>
    <t>2.3.2</t>
  </si>
  <si>
    <t>2.3.3</t>
  </si>
  <si>
    <t>2.3.4</t>
  </si>
  <si>
    <t>2.3.5</t>
  </si>
  <si>
    <t>2.3.6</t>
  </si>
  <si>
    <t>2.4</t>
  </si>
  <si>
    <t>2.4.1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</si>
  <si>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</si>
  <si>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</si>
  <si>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</si>
  <si>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</si>
  <si>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</si>
  <si>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</si>
  <si>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</si>
  <si>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</si>
  <si>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</si>
  <si>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</si>
  <si>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2.4.13</t>
  </si>
  <si>
    <t>2.5</t>
  </si>
  <si>
    <t>2.5.1</t>
  </si>
  <si>
    <t>2.5.2</t>
  </si>
  <si>
    <t>2.5.3</t>
  </si>
  <si>
    <t>2.5.4</t>
  </si>
  <si>
    <t>2.5.5</t>
  </si>
  <si>
    <t xml:space="preserve">GRUPA </t>
  </si>
  <si>
    <t>Hydrofornia</t>
  </si>
  <si>
    <t>Geodezja + koszt zabezpieczenia wod na czas robót</t>
  </si>
  <si>
    <t xml:space="preserve">Odtworzenie nawierzchni </t>
  </si>
  <si>
    <t>Roboty towarzyszące</t>
  </si>
  <si>
    <t xml:space="preserve">Rozbiórka elementów dróg i ulic </t>
  </si>
  <si>
    <t xml:space="preserve">Sieci wodociągowe </t>
  </si>
  <si>
    <t>WARTOŚĆ KOSZTORYSU NETTO</t>
  </si>
  <si>
    <t>PODATEK VAT 23%</t>
  </si>
  <si>
    <t>WARTOŚĆ KOSZTORYSU BRUTTO</t>
  </si>
  <si>
    <t>Kształtki PE na rurociągach PE, Fi·110·mm, trójniki 110/110/90 (110)</t>
  </si>
  <si>
    <t>KNNR 4/1112/1 (1)</t>
  </si>
  <si>
    <t>1.4.31</t>
  </si>
  <si>
    <t>1.1.8</t>
  </si>
  <si>
    <t>Wywiezienie gruzu z terenu rozbiórki przy mechanicznym załadowaniu i wyładowaniu, nakłądy uzupełniające na każdy dalszy rozpoczęty 1·km ponad 1·km transportu krotność 4</t>
  </si>
  <si>
    <t>2.1.6</t>
  </si>
  <si>
    <t>lp</t>
  </si>
  <si>
    <t>Kształtki żeliwne ciśnieniowe kołnierzowe, Fi·100·mm - analogia trójnik równo przelotowy 110/110/110</t>
  </si>
  <si>
    <t>1.4.32</t>
  </si>
  <si>
    <t>1.5.9</t>
  </si>
  <si>
    <t>1.5.10</t>
  </si>
  <si>
    <t>PRZEDMIAR ROBÓT</t>
  </si>
  <si>
    <t>Spięcie nowego odcinka sieci zDN110  z istniejącą siecią w wężle  W6</t>
  </si>
  <si>
    <t>Zasuwa typu "E" kołnierzowa z obudową montowana na rurociągach PVC i PE, Fi·80·mm</t>
  </si>
  <si>
    <t xml:space="preserve">KNR 228/305/4 (8) </t>
  </si>
  <si>
    <t xml:space="preserve"> Kształtki PE na rurociągach PE, Fi·160·mm, trójniki 160/160/90(110)</t>
  </si>
  <si>
    <t>1.4.33</t>
  </si>
  <si>
    <r>
      <t xml:space="preserve">Kształtki PE na rurociągach PE, Fi·160·mm, łuki 15° - </t>
    </r>
    <r>
      <rPr>
        <b/>
        <sz val="11"/>
        <color rgb="FF000000"/>
        <rFont val="Calibri"/>
        <family val="2"/>
        <charset val="238"/>
      </rPr>
      <t xml:space="preserve">analogia </t>
    </r>
    <r>
      <rPr>
        <sz val="11"/>
        <color indexed="8"/>
        <rFont val="Calibri"/>
        <family val="2"/>
      </rPr>
      <t>redukcja 150/100</t>
    </r>
  </si>
  <si>
    <t>KNR 228/305/2 (1)</t>
  </si>
  <si>
    <t>Kształtki PE na rurociągach PE, Fi·90·mm, kolana 45° - analogia tuleja kołnierzowa do rurPE Dn 90 z kołnierzem stalowym</t>
  </si>
  <si>
    <t>1.4.34</t>
  </si>
  <si>
    <t>Podsypka+obsypka  rurociągu kruszywem dowiezionym, piasek</t>
  </si>
  <si>
    <t>Kształtki PE na rurociągach PE, Fi·90·mm, kolana 45° - analogia redukcja 90/75</t>
  </si>
  <si>
    <t xml:space="preserve">Wymiana sieci wodociągowej na os.gen. Maczka  oraz  ul.Podhalańskiej
pomiędzy węzłami W1-W6 </t>
  </si>
  <si>
    <t>KNNR 6/801/2</t>
  </si>
  <si>
    <t>Rozebranie podbudowy, z kruszywa, grubość 15·cm,
mechanicznie do 30 cm</t>
  </si>
  <si>
    <t>KNNR 6/802/4</t>
  </si>
  <si>
    <t>Rozebranie nawierzchni, masy mineralno-bitumiczne grubość 4·cm, mechanicznie do 10 cm cm</t>
  </si>
  <si>
    <t>KNNR 6/805/7</t>
  </si>
  <si>
    <t>Rozebranie nawierzchni  chodników z płyt betonowych, chodniki, na podsypce cementowo-piaskowej, płyty 50x50x7·cm</t>
  </si>
  <si>
    <t>Spięcie nowego odcinka sieci zDN110  z istniejącą siecią poprzez istniejacą zasuwę</t>
  </si>
  <si>
    <t>Demontaż rurociągu żeliwnego/stalowego w wykopie, Fi·100·mm</t>
  </si>
  <si>
    <t>Demontaż rurociągu żeliwnego  w wykopie, Fi·150·mm</t>
  </si>
  <si>
    <t>cena jedn. z krot.
/zł/</t>
  </si>
  <si>
    <t>KNR 228/305/3 (2)</t>
  </si>
  <si>
    <t>KNKRB 6/502/4</t>
  </si>
  <si>
    <t>Chodniki z płyt betonowych o wymiarach w cm 50x50x7, podsypka cementowo - piask., wypełnienie zapr. cement. - PŁYTKI Z ODZYSKU</t>
  </si>
  <si>
    <t>1.1.9</t>
  </si>
  <si>
    <t>1.4.35</t>
  </si>
  <si>
    <t xml:space="preserve">mb </t>
  </si>
  <si>
    <t>1.1.10</t>
  </si>
  <si>
    <t>KNR 231/501/1</t>
  </si>
  <si>
    <t>Chodniki z klinkieru drogowego i kostki kamiennej nieregularnej, klinkier, na płask na podsypce piaskowej z wypełnieniem spoin piaskiemj - KOSTKA Z ODZYSKU</t>
  </si>
  <si>
    <t>1.1.11</t>
  </si>
  <si>
    <t>1.1.12</t>
  </si>
  <si>
    <t>Rozbiórka  i odtworzenie elementów dróg i ulic</t>
  </si>
  <si>
    <t>1.1.13</t>
  </si>
  <si>
    <t>1.1.14</t>
  </si>
  <si>
    <t>1.1.15</t>
  </si>
  <si>
    <t>1.1.16</t>
  </si>
  <si>
    <t>Rozebranie krawężników betonowych podsypka cementowo - piask.+ obrzeża</t>
  </si>
  <si>
    <t>1.1.17</t>
  </si>
  <si>
    <t>KNNR 4/1009/3 (1)</t>
  </si>
  <si>
    <t>Montaż rurociągów z rur polietylenowych (PE, PEHD), Fi·90·mm</t>
  </si>
  <si>
    <t>2.1.7</t>
  </si>
  <si>
    <t>2.1.8</t>
  </si>
  <si>
    <t>2.1.9</t>
  </si>
  <si>
    <t>2.1.10</t>
  </si>
  <si>
    <t>2.1.11</t>
  </si>
  <si>
    <t>2.1.12</t>
  </si>
  <si>
    <t>2.1.13</t>
  </si>
  <si>
    <t>KNNR 4/111/5 (2)</t>
  </si>
  <si>
    <t>KNNR 4/1011/1 (2)</t>
  </si>
  <si>
    <t>2</t>
  </si>
  <si>
    <t>2.1</t>
  </si>
  <si>
    <t>KNRW 218/527/2</t>
  </si>
  <si>
    <t>Przejście przez ściany komór tulejami stalowymi "PS" przy grubości ściany 20·cm, otwór Fi·260·mm</t>
  </si>
  <si>
    <t>KNRW 218/527/1</t>
  </si>
  <si>
    <t>Przejście przez ściany komór tulejami stalowymi "PS" przy grubości ściany 20·cm, otwór Fi·260·mm- analogia  DN160</t>
  </si>
  <si>
    <t xml:space="preserve">KNR 231/801/3 </t>
  </si>
  <si>
    <t>Rozebranie podbudowy, betonowej mechanicznie, grubość 12·cm - analogia rozebranie nawierzchni betonowej</t>
  </si>
  <si>
    <t>Wykopy oraz przekopy wykonywane na odkład koparkami podsiębiernymi, koparka 0,25-0,60, głębokość do 3·m, kategoria gruntu III-IV - 80%</t>
  </si>
  <si>
    <t>Kształtki PE na rurociągach PE, Fi·160·mm - trójnik 160/160/90</t>
  </si>
  <si>
    <t>KNR 228/305/5 (3)</t>
  </si>
  <si>
    <t>KNNR 4/1010/11 (2)</t>
  </si>
  <si>
    <t>zestawienie</t>
  </si>
  <si>
    <t>odcinek od zasuwy na odejściu przy bloku nr 44 do zasuwy przy stacji trafo</t>
  </si>
  <si>
    <t>odcinek od zasuwy na działce nr ew. 19380/19 do komory zasuw przy hydroforni Szaflarska</t>
  </si>
  <si>
    <t>Spięcie nowego odcinka sieci z DN160  z istniejącą siecią z rur PE TS DN160 poprzez istniejacą zasuwę</t>
  </si>
  <si>
    <t>KNNR 8/120/2
analogia</t>
  </si>
  <si>
    <t>KNNR 8/107/3</t>
  </si>
  <si>
    <t>Demontaż rurociągu żeliwnego  w wykopie,</t>
  </si>
  <si>
    <t>KNNR 4/1112/4</t>
  </si>
  <si>
    <t>Zasuwa typu "E" kołnierzowa z obudową montowana na rurociągach PVC i PE, Fi·200·mm</t>
  </si>
  <si>
    <t>KNNR 4/1009/9 (2)</t>
  </si>
  <si>
    <t>Montaż rurociągów z rur polietylenowych (PE, PEHD), Fi·200·mm (wzmocnione RC,TS)</t>
  </si>
  <si>
    <t>KNNR 4/1014/5</t>
  </si>
  <si>
    <t>Przejście przez ściany komór tulejami stalowymi "PS" przy grubości ściany 20·cm, otwór Fi·260·mm, analogia tuleja PE 225  szer. 1 m</t>
  </si>
  <si>
    <t xml:space="preserve">Spięcie nowego odcinka sieci DN200  z  istniejącą siecią w komorze zasuw </t>
  </si>
  <si>
    <t>Połączenie rur polietylenowych, ciśnieniowych PE, PEHD metodą zgrzewania czołowego, Fi 200·mm, z agregatem</t>
  </si>
  <si>
    <t>KNR 228/305/5 (2)</t>
  </si>
  <si>
    <t xml:space="preserve">Kształtki PE na rurociągach PE, Fi·200·mm, kolana 90° </t>
  </si>
  <si>
    <t xml:space="preserve">KNNR 8/120/2
</t>
  </si>
  <si>
    <r>
      <t>Demontaż zasuwy żeliwnej w wykopie, zasuwa kielichowa, Fi·100·,150 mm,</t>
    </r>
    <r>
      <rPr>
        <b/>
        <sz val="11"/>
        <color rgb="FF000000"/>
        <rFont val="Calibri"/>
        <family val="2"/>
        <charset val="238"/>
      </rPr>
      <t xml:space="preserve"> </t>
    </r>
  </si>
  <si>
    <t>Połączenie rur polietylenowych, ciśnieniowych za pomocą kształtek elektrooporowych, kształtka PE-HD, 75·mm - analogia 80 mm</t>
  </si>
  <si>
    <t xml:space="preserve">Roboty montażowe sieci wodociągowej </t>
  </si>
  <si>
    <t>Spięcie odcinka sieci DN160  z  istniejącą siecią  z rur żeliwnych DN150 z wykładziną PE w komorze/ lub przez montowaną zasuwe</t>
  </si>
  <si>
    <t>Spięcie nowego odcinka sieci zDN160  z istniejącą siecią w istniejącej komorze</t>
  </si>
  <si>
    <t>Demontaż zasuwy żeliwnej w wykopie, zasuwa kielichowa, Fi·100·,150 mm</t>
  </si>
  <si>
    <t>Hydranty pożarowe i zdroje uliczne, nadziemne Fi·80·mm z zasuwami przed hydrantowymi</t>
  </si>
  <si>
    <t>Połączenie rur polietylenowych, ciśnieniowych za pomocą kształtek elektrooporowych, kształtka PE-HD, 75·mm - analogia 90 mm</t>
  </si>
  <si>
    <t>KNNR 4/1011/3(2)</t>
  </si>
  <si>
    <t>Przyłącze wodociągowe z rur ciśnieniowych PE łączonych metodą zgrzewania, Fi·90·mm</t>
  </si>
  <si>
    <t>Rurociągi z tworzyw sztucznych (PP, PE, PB) o połączeniach zgrzewanych na ścianach w budynkach mieszkalnych, Fi_zew. 90·mm</t>
  </si>
  <si>
    <t xml:space="preserve">Kształtki PE na rurociągach PE, Fi·90·mm, </t>
  </si>
  <si>
    <t xml:space="preserve">Kształtki PE na rurociągach PE, Fi·160·mm, </t>
  </si>
  <si>
    <t xml:space="preserve">Kształtki PE na rurociągach PE, Fi·110·mm, </t>
  </si>
  <si>
    <t>Kształtki PE na rurociągach PE, Fi·110·mm, trójniki 110/90/110 (110)</t>
  </si>
  <si>
    <t xml:space="preserve"> Kształtki PE na rurociągach PE, Fi·160·mm, trójniki 160/90(110)/160</t>
  </si>
  <si>
    <t xml:space="preserve">Kształtki żeliwne ciśnieniowe kołnierzowe, Fi·100·mm - </t>
  </si>
  <si>
    <t xml:space="preserve">Demontaż zasuwy żeliwnej w wykopie, zasuwa kielichowa, Fi·100·,150 mm </t>
  </si>
  <si>
    <r>
      <t xml:space="preserve">Kształtki żeliwne ciśnieniowe kołnierzowe, Fi·200·mm- </t>
    </r>
    <r>
      <rPr>
        <b/>
        <sz val="11"/>
        <color rgb="FF000000"/>
        <rFont val="Calibri"/>
        <family val="2"/>
        <charset val="238"/>
      </rPr>
      <t>analogia</t>
    </r>
    <r>
      <rPr>
        <sz val="11"/>
        <color indexed="8"/>
        <rFont val="Calibri"/>
        <family val="2"/>
      </rPr>
      <t xml:space="preserve"> trójnik 200/80</t>
    </r>
  </si>
  <si>
    <r>
      <t xml:space="preserve">Kształtki żeliwne ciśnieniowe kołnierzowe, Fi·200·mm- </t>
    </r>
    <r>
      <rPr>
        <b/>
        <sz val="11"/>
        <color rgb="FF000000"/>
        <rFont val="Calibri"/>
        <family val="2"/>
        <charset val="238"/>
      </rPr>
      <t>analogia</t>
    </r>
    <r>
      <rPr>
        <sz val="11"/>
        <color indexed="8"/>
        <rFont val="Calibri"/>
        <family val="2"/>
      </rPr>
      <t xml:space="preserve"> trójnik  200/200/200</t>
    </r>
  </si>
  <si>
    <t xml:space="preserve">Koszt połaczenia rurociagu z zestawem hydroforowym </t>
  </si>
  <si>
    <r>
      <t xml:space="preserve">Kształtki PE na rurociągach PE, Fi·225·mm,  - </t>
    </r>
    <r>
      <rPr>
        <b/>
        <sz val="11"/>
        <color rgb="FF000000"/>
        <rFont val="Calibri"/>
        <family val="2"/>
        <charset val="238"/>
      </rPr>
      <t xml:space="preserve">analogia </t>
    </r>
    <r>
      <rPr>
        <sz val="11"/>
        <color indexed="8"/>
        <rFont val="Calibri"/>
        <family val="2"/>
      </rPr>
      <t>redukcja 200/160 i 90</t>
    </r>
  </si>
  <si>
    <t>1.1.18</t>
  </si>
  <si>
    <t>Remont sieci wodociągowej w rejonie ul. Szaflarskiej i ul. Podtatrzańskiej w Nowym Targu - 
- odcinek od zasuwy na odejściu przy bloku nr 44 do zasuwy przy stacji trafo</t>
  </si>
  <si>
    <t>Remont sieci wodociągowej w rejonie ul. Szaflarskiej i ul. Podtatrzańskiej w Nowym Targu</t>
  </si>
  <si>
    <t xml:space="preserve"> - odcinek od zasuwy na działce nr ew. 19380/19 do komory zasuw przy hydroforni Szaflarska</t>
  </si>
  <si>
    <t>2.4.2</t>
  </si>
  <si>
    <t>OGÓŁEM
Remont sieci wodociągowej w rejonie ul. Szaflarskiej i ul. Podtatrzańskiej w Nowym Targu</t>
  </si>
  <si>
    <t>1.4.36</t>
  </si>
  <si>
    <t>Przewiert sterowany horyzontalny DN 160 PE RC  SDR 11 PN 16 +  KOSZT RURY PRZEWIERTOWEJ</t>
  </si>
  <si>
    <t>Przewiert sterowany horyzontalny DN 110 PE RC  SDR 11 PN 16 +  KOSZT RURY PRZEWIERTOWEJ</t>
  </si>
  <si>
    <t xml:space="preserve">ogółem </t>
  </si>
  <si>
    <t>razem</t>
  </si>
  <si>
    <t>przewiert</t>
  </si>
  <si>
    <t>wykop</t>
  </si>
  <si>
    <t xml:space="preserve">Przepięcie przyłącza z rur PE DN50 do bloku nr 46 </t>
  </si>
  <si>
    <r>
      <t xml:space="preserve">Kształtki żeliwne ciśnieniowe kołnierzowe, Fi·150·mm- </t>
    </r>
    <r>
      <rPr>
        <b/>
        <sz val="11"/>
        <color rgb="FF000000"/>
        <rFont val="Calibri"/>
        <family val="2"/>
        <charset val="238"/>
      </rPr>
      <t>analogia</t>
    </r>
    <r>
      <rPr>
        <sz val="11"/>
        <color indexed="8"/>
        <rFont val="Calibri"/>
        <family val="2"/>
      </rPr>
      <t xml:space="preserve"> trójnik  160/160/160</t>
    </r>
  </si>
  <si>
    <t xml:space="preserve">Przejście wodociągiem pod śmietnikiem </t>
  </si>
  <si>
    <t>Przewiert sterowany horyzontalny DN 200PE RC  SDR 11 PN 16 +  KOSZT RURY PRZEWIERTOWEJ</t>
  </si>
  <si>
    <t>\</t>
  </si>
  <si>
    <t>PRZEDMIAR_KOSZTORYS OFERTOWY</t>
  </si>
  <si>
    <t>1.1.10.A</t>
  </si>
  <si>
    <t>Nawierzchnie z mieszanek mineralno-bitumicznych żwirowo-piaskowych, warstwa asfaltowa wiążąca, grubości 4·cm</t>
  </si>
  <si>
    <t>2.1.7.A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</si>
</sst>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4" x14ac:knownFonts="1">
    <font>
      <sz val="10"/>
      <name val="Arial"/>
    </font>
    <font>
      <sz val="11"/>
      <color indexed="8"/>
      <name val="Calibri"/>
      <family val="2"/>
    </font>
    <font>
      <b/>
      <sz val="10"/>
      <name val="Calibri"/>
      <family val="2"/>
      <charset val="238"/>
    </font>
    <font>
      <b/>
      <sz val="16"/>
      <name val="Calibri"/>
      <family val="2"/>
    </font>
    <font>
      <sz val="16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6"/>
      <name val="Calibri"/>
      <family val="2"/>
      <charset val="238"/>
    </font>
    <font>
      <b/>
      <sz val="22"/>
      <name val="Calibri"/>
      <family val="2"/>
      <charset val="238"/>
    </font>
    <font>
      <sz val="12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Alignment="0"/>
    <xf numFmtId="0" fontId="15" fillId="0" borderId="0" applyAlignment="0"/>
  </cellStyleXfs>
  <cellXfs count="97">
    <xf numFmtId="0" fontId="0" fillId="0" borderId="0" xfId="0" applyAlignment="1"/>
    <xf numFmtId="0" fontId="4" fillId="0" borderId="0" xfId="0" applyFont="1" applyAlignment="1">
      <alignment vertical="center"/>
    </xf>
    <xf numFmtId="0" fontId="6" fillId="0" borderId="0" xfId="0" applyFont="1" applyAlignment="1"/>
    <xf numFmtId="2" fontId="6" fillId="0" borderId="0" xfId="0" applyNumberFormat="1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/>
    <xf numFmtId="4" fontId="13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2" fontId="1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 applyProtection="1">
      <alignment vertical="center"/>
      <protection locked="0"/>
    </xf>
    <xf numFmtId="0" fontId="22" fillId="0" borderId="0" xfId="0" applyFont="1" applyAlignment="1"/>
    <xf numFmtId="4" fontId="17" fillId="0" borderId="1" xfId="0" applyNumberFormat="1" applyFont="1" applyBorder="1" applyAlignment="1">
      <alignment vertical="center"/>
    </xf>
    <xf numFmtId="4" fontId="6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/>
    <xf numFmtId="4" fontId="1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4" fontId="13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" fontId="16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1" fillId="0" borderId="1" xfId="0" applyNumberFormat="1" applyFont="1" applyBorder="1" applyAlignment="1" applyProtection="1">
      <alignment vertical="center" wrapText="1"/>
      <protection locked="0"/>
    </xf>
    <xf numFmtId="4" fontId="20" fillId="0" borderId="1" xfId="0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/>
    <xf numFmtId="0" fontId="2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right" vertical="center"/>
    </xf>
  </cellXfs>
  <cellStyles count="2">
    <cellStyle name="Normalny" xfId="0" builtinId="0"/>
    <cellStyle name="Normalny 2" xfId="1" xr:uid="{9FF40C38-FEFE-4D9C-A3BA-42E6856978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370A-086A-4E78-8BB0-32817B8FA85A}">
  <sheetPr>
    <pageSetUpPr fitToPage="1"/>
  </sheetPr>
  <dimension ref="A1:O142"/>
  <sheetViews>
    <sheetView zoomScaleNormal="100" workbookViewId="0">
      <selection activeCell="A2" sqref="A2:I3"/>
    </sheetView>
  </sheetViews>
  <sheetFormatPr defaultRowHeight="12.75" customHeight="1" x14ac:dyDescent="0.2"/>
  <cols>
    <col min="1" max="1" width="6.140625" style="2" bestFit="1" customWidth="1"/>
    <col min="2" max="2" width="14.85546875" style="2" customWidth="1"/>
    <col min="3" max="3" width="50.42578125" style="2" customWidth="1"/>
    <col min="4" max="4" width="8" style="37" customWidth="1"/>
    <col min="5" max="5" width="10.85546875" style="2" hidden="1" customWidth="1"/>
    <col min="6" max="6" width="10.85546875" style="38" customWidth="1"/>
    <col min="7" max="7" width="6.28515625" style="37" customWidth="1"/>
    <col min="8" max="8" width="9.140625" style="10"/>
    <col min="9" max="9" width="10" style="10" bestFit="1" customWidth="1"/>
    <col min="10" max="10" width="0.140625" style="2" hidden="1" customWidth="1"/>
    <col min="11" max="14" width="9.140625" style="2" hidden="1" customWidth="1"/>
    <col min="15" max="16384" width="9.140625" style="2"/>
  </cols>
  <sheetData>
    <row r="1" spans="1:9" s="1" customFormat="1" ht="24.75" customHeight="1" x14ac:dyDescent="0.2">
      <c r="A1" s="85" t="s">
        <v>344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2.75" customHeight="1" x14ac:dyDescent="0.2">
      <c r="A2" s="84" t="s">
        <v>356</v>
      </c>
      <c r="B2" s="84"/>
      <c r="C2" s="84"/>
      <c r="D2" s="84"/>
      <c r="E2" s="84"/>
      <c r="F2" s="84"/>
      <c r="G2" s="84"/>
      <c r="H2" s="84"/>
      <c r="I2" s="84"/>
    </row>
    <row r="3" spans="1:9" s="1" customFormat="1" ht="37.5" customHeight="1" x14ac:dyDescent="0.2">
      <c r="A3" s="84"/>
      <c r="B3" s="84"/>
      <c r="C3" s="84"/>
      <c r="D3" s="84"/>
      <c r="E3" s="84"/>
      <c r="F3" s="84"/>
      <c r="G3" s="84"/>
      <c r="H3" s="84"/>
      <c r="I3" s="84"/>
    </row>
    <row r="4" spans="1:9" s="5" customFormat="1" ht="22.5" x14ac:dyDescent="0.2">
      <c r="A4" s="12" t="s">
        <v>339</v>
      </c>
      <c r="B4" s="4" t="s">
        <v>1</v>
      </c>
      <c r="C4" s="4" t="s">
        <v>2</v>
      </c>
      <c r="D4" s="4" t="s">
        <v>3</v>
      </c>
      <c r="E4" s="4" t="s">
        <v>4</v>
      </c>
      <c r="F4" s="13" t="s">
        <v>4</v>
      </c>
      <c r="G4" s="4" t="s">
        <v>5</v>
      </c>
      <c r="H4" s="4" t="s">
        <v>213</v>
      </c>
      <c r="I4" s="4" t="s">
        <v>214</v>
      </c>
    </row>
    <row r="5" spans="1:9" ht="15" x14ac:dyDescent="0.25">
      <c r="A5" s="14" t="s">
        <v>6</v>
      </c>
      <c r="B5" s="15" t="s">
        <v>7</v>
      </c>
      <c r="C5" s="15" t="s">
        <v>9</v>
      </c>
      <c r="D5" s="16"/>
      <c r="E5" s="17"/>
      <c r="F5" s="18"/>
      <c r="G5" s="16"/>
      <c r="H5" s="8"/>
      <c r="I5" s="7">
        <f>I6+I15+I23+I35+I70</f>
        <v>0</v>
      </c>
    </row>
    <row r="6" spans="1:9" s="6" customFormat="1" ht="15" x14ac:dyDescent="0.25">
      <c r="A6" s="19" t="s">
        <v>8</v>
      </c>
      <c r="B6" s="20" t="s">
        <v>10</v>
      </c>
      <c r="C6" s="20" t="s">
        <v>211</v>
      </c>
      <c r="D6" s="21"/>
      <c r="E6" s="22"/>
      <c r="F6" s="23"/>
      <c r="G6" s="21"/>
      <c r="H6" s="7"/>
      <c r="I6" s="7">
        <f>SUM(I7:I14)</f>
        <v>0</v>
      </c>
    </row>
    <row r="7" spans="1:9" ht="30" x14ac:dyDescent="0.2">
      <c r="A7" s="24" t="s">
        <v>11</v>
      </c>
      <c r="B7" s="25" t="s">
        <v>12</v>
      </c>
      <c r="C7" s="25" t="s">
        <v>14</v>
      </c>
      <c r="D7" s="26" t="s">
        <v>13</v>
      </c>
      <c r="E7" s="27">
        <v>196</v>
      </c>
      <c r="F7" s="18"/>
      <c r="G7" s="16">
        <v>1</v>
      </c>
      <c r="H7" s="8"/>
      <c r="I7" s="8">
        <f t="shared" ref="I7:I14" si="0">ROUND(F7*G7*H7,2)</f>
        <v>0</v>
      </c>
    </row>
    <row r="8" spans="1:9" ht="30" x14ac:dyDescent="0.2">
      <c r="A8" s="24" t="s">
        <v>29</v>
      </c>
      <c r="B8" s="28" t="s">
        <v>206</v>
      </c>
      <c r="C8" s="28" t="s">
        <v>207</v>
      </c>
      <c r="D8" s="26" t="s">
        <v>13</v>
      </c>
      <c r="E8" s="27"/>
      <c r="F8" s="18"/>
      <c r="G8" s="16">
        <v>1</v>
      </c>
      <c r="H8" s="8"/>
      <c r="I8" s="8">
        <f t="shared" si="0"/>
        <v>0</v>
      </c>
    </row>
    <row r="9" spans="1:9" ht="45" x14ac:dyDescent="0.2">
      <c r="A9" s="24" t="s">
        <v>46</v>
      </c>
      <c r="B9" s="25" t="s">
        <v>16</v>
      </c>
      <c r="C9" s="25" t="s">
        <v>17</v>
      </c>
      <c r="D9" s="26" t="s">
        <v>15</v>
      </c>
      <c r="E9" s="27">
        <v>124.5</v>
      </c>
      <c r="F9" s="18"/>
      <c r="G9" s="16">
        <v>5</v>
      </c>
      <c r="H9" s="8"/>
      <c r="I9" s="8">
        <f t="shared" si="0"/>
        <v>0</v>
      </c>
    </row>
    <row r="10" spans="1:9" ht="30" x14ac:dyDescent="0.2">
      <c r="A10" s="24" t="s">
        <v>72</v>
      </c>
      <c r="B10" s="25" t="s">
        <v>18</v>
      </c>
      <c r="C10" s="25" t="s">
        <v>19</v>
      </c>
      <c r="D10" s="26" t="s">
        <v>15</v>
      </c>
      <c r="E10" s="27">
        <v>124.5</v>
      </c>
      <c r="F10" s="18"/>
      <c r="G10" s="16">
        <v>1</v>
      </c>
      <c r="H10" s="8"/>
      <c r="I10" s="8">
        <f t="shared" si="0"/>
        <v>0</v>
      </c>
    </row>
    <row r="11" spans="1:9" ht="45" customHeight="1" x14ac:dyDescent="0.2">
      <c r="A11" s="24" t="s">
        <v>129</v>
      </c>
      <c r="B11" s="25" t="s">
        <v>20</v>
      </c>
      <c r="C11" s="25" t="s">
        <v>21</v>
      </c>
      <c r="D11" s="26" t="s">
        <v>15</v>
      </c>
      <c r="E11" s="27">
        <v>630.5</v>
      </c>
      <c r="F11" s="18"/>
      <c r="G11" s="16">
        <v>1</v>
      </c>
      <c r="H11" s="8"/>
      <c r="I11" s="8">
        <f t="shared" si="0"/>
        <v>0</v>
      </c>
    </row>
    <row r="12" spans="1:9" ht="30" x14ac:dyDescent="0.2">
      <c r="A12" s="24" t="s">
        <v>221</v>
      </c>
      <c r="B12" s="25" t="s">
        <v>22</v>
      </c>
      <c r="C12" s="25" t="s">
        <v>23</v>
      </c>
      <c r="D12" s="26" t="s">
        <v>15</v>
      </c>
      <c r="E12" s="27">
        <v>37.5</v>
      </c>
      <c r="F12" s="18"/>
      <c r="G12" s="16">
        <v>1</v>
      </c>
      <c r="H12" s="8"/>
      <c r="I12" s="8">
        <f t="shared" si="0"/>
        <v>0</v>
      </c>
    </row>
    <row r="13" spans="1:9" ht="47.25" customHeight="1" x14ac:dyDescent="0.2">
      <c r="A13" s="24" t="s">
        <v>222</v>
      </c>
      <c r="B13" s="25" t="s">
        <v>24</v>
      </c>
      <c r="C13" s="25" t="s">
        <v>26</v>
      </c>
      <c r="D13" s="26" t="s">
        <v>25</v>
      </c>
      <c r="E13" s="27">
        <v>33.1</v>
      </c>
      <c r="F13" s="18"/>
      <c r="G13" s="16">
        <v>1</v>
      </c>
      <c r="H13" s="8"/>
      <c r="I13" s="8">
        <f t="shared" si="0"/>
        <v>0</v>
      </c>
    </row>
    <row r="14" spans="1:9" ht="60" x14ac:dyDescent="0.2">
      <c r="A14" s="24" t="s">
        <v>336</v>
      </c>
      <c r="B14" s="25" t="s">
        <v>27</v>
      </c>
      <c r="C14" s="25" t="s">
        <v>28</v>
      </c>
      <c r="D14" s="26" t="s">
        <v>25</v>
      </c>
      <c r="E14" s="27">
        <v>33.1</v>
      </c>
      <c r="F14" s="18"/>
      <c r="G14" s="16">
        <v>2</v>
      </c>
      <c r="H14" s="8"/>
      <c r="I14" s="8">
        <f t="shared" si="0"/>
        <v>0</v>
      </c>
    </row>
    <row r="15" spans="1:9" ht="15" x14ac:dyDescent="0.25">
      <c r="A15" s="14" t="s">
        <v>224</v>
      </c>
      <c r="B15" s="15" t="s">
        <v>10</v>
      </c>
      <c r="C15" s="15" t="s">
        <v>30</v>
      </c>
      <c r="D15" s="16"/>
      <c r="E15" s="17"/>
      <c r="F15" s="18"/>
      <c r="G15" s="16"/>
      <c r="H15" s="8"/>
      <c r="I15" s="8">
        <f>SUM(I16:I22)</f>
        <v>0</v>
      </c>
    </row>
    <row r="16" spans="1:9" ht="30" x14ac:dyDescent="0.2">
      <c r="A16" s="24" t="s">
        <v>223</v>
      </c>
      <c r="B16" s="25" t="s">
        <v>31</v>
      </c>
      <c r="C16" s="25" t="s">
        <v>33</v>
      </c>
      <c r="D16" s="26" t="s">
        <v>32</v>
      </c>
      <c r="E16" s="27">
        <v>0.78500000000000003</v>
      </c>
      <c r="F16" s="29"/>
      <c r="G16" s="16">
        <v>1</v>
      </c>
      <c r="H16" s="8"/>
      <c r="I16" s="8">
        <f t="shared" ref="I16:I22" si="1">ROUND(F16*G16*H16,2)</f>
        <v>0</v>
      </c>
    </row>
    <row r="17" spans="1:15" ht="45" x14ac:dyDescent="0.2">
      <c r="A17" s="24" t="s">
        <v>225</v>
      </c>
      <c r="B17" s="25" t="s">
        <v>34</v>
      </c>
      <c r="C17" s="25" t="s">
        <v>35</v>
      </c>
      <c r="D17" s="26" t="s">
        <v>25</v>
      </c>
      <c r="E17" s="27">
        <v>205</v>
      </c>
      <c r="F17" s="18"/>
      <c r="G17" s="16">
        <v>1</v>
      </c>
      <c r="H17" s="8"/>
      <c r="I17" s="8">
        <f t="shared" si="1"/>
        <v>0</v>
      </c>
      <c r="O17" s="3"/>
    </row>
    <row r="18" spans="1:15" ht="65.25" customHeight="1" x14ac:dyDescent="0.2">
      <c r="A18" s="24" t="s">
        <v>226</v>
      </c>
      <c r="B18" s="25" t="s">
        <v>36</v>
      </c>
      <c r="C18" s="25" t="s">
        <v>37</v>
      </c>
      <c r="D18" s="26" t="s">
        <v>25</v>
      </c>
      <c r="E18" s="27"/>
      <c r="F18" s="18"/>
      <c r="G18" s="16">
        <v>1</v>
      </c>
      <c r="H18" s="8"/>
      <c r="I18" s="8">
        <f t="shared" si="1"/>
        <v>0</v>
      </c>
    </row>
    <row r="19" spans="1:15" ht="75" x14ac:dyDescent="0.2">
      <c r="A19" s="24" t="s">
        <v>227</v>
      </c>
      <c r="B19" s="25" t="s">
        <v>38</v>
      </c>
      <c r="C19" s="25" t="s">
        <v>39</v>
      </c>
      <c r="D19" s="26" t="s">
        <v>25</v>
      </c>
      <c r="E19" s="27">
        <v>780.3</v>
      </c>
      <c r="F19" s="18"/>
      <c r="G19" s="16">
        <v>2</v>
      </c>
      <c r="H19" s="8"/>
      <c r="I19" s="8">
        <f t="shared" si="1"/>
        <v>0</v>
      </c>
    </row>
    <row r="20" spans="1:15" ht="50.25" customHeight="1" x14ac:dyDescent="0.2">
      <c r="A20" s="24" t="s">
        <v>228</v>
      </c>
      <c r="B20" s="25" t="s">
        <v>40</v>
      </c>
      <c r="C20" s="25" t="s">
        <v>41</v>
      </c>
      <c r="D20" s="26" t="s">
        <v>25</v>
      </c>
      <c r="E20" s="27">
        <v>51.3</v>
      </c>
      <c r="F20" s="18"/>
      <c r="G20" s="16">
        <v>1</v>
      </c>
      <c r="H20" s="8"/>
      <c r="I20" s="8">
        <f t="shared" si="1"/>
        <v>0</v>
      </c>
    </row>
    <row r="21" spans="1:15" ht="65.25" customHeight="1" x14ac:dyDescent="0.2">
      <c r="A21" s="24" t="s">
        <v>229</v>
      </c>
      <c r="B21" s="25" t="s">
        <v>42</v>
      </c>
      <c r="C21" s="25" t="s">
        <v>43</v>
      </c>
      <c r="D21" s="26" t="s">
        <v>15</v>
      </c>
      <c r="E21" s="27">
        <v>2176</v>
      </c>
      <c r="F21" s="18"/>
      <c r="G21" s="16">
        <v>1</v>
      </c>
      <c r="H21" s="8"/>
      <c r="I21" s="8">
        <f t="shared" si="1"/>
        <v>0</v>
      </c>
    </row>
    <row r="22" spans="1:15" ht="33.75" customHeight="1" x14ac:dyDescent="0.2">
      <c r="A22" s="24" t="s">
        <v>230</v>
      </c>
      <c r="B22" s="25" t="s">
        <v>44</v>
      </c>
      <c r="C22" s="25" t="s">
        <v>45</v>
      </c>
      <c r="D22" s="26" t="s">
        <v>25</v>
      </c>
      <c r="E22" s="27">
        <v>434.7</v>
      </c>
      <c r="F22" s="18"/>
      <c r="G22" s="16">
        <v>1</v>
      </c>
      <c r="H22" s="8"/>
      <c r="I22" s="8">
        <f t="shared" si="1"/>
        <v>0</v>
      </c>
    </row>
    <row r="23" spans="1:15" s="6" customFormat="1" ht="15" x14ac:dyDescent="0.25">
      <c r="A23" s="19" t="s">
        <v>231</v>
      </c>
      <c r="B23" s="20" t="s">
        <v>10</v>
      </c>
      <c r="C23" s="20" t="s">
        <v>220</v>
      </c>
      <c r="D23" s="21"/>
      <c r="E23" s="22"/>
      <c r="F23" s="23"/>
      <c r="G23" s="21"/>
      <c r="H23" s="7"/>
      <c r="I23" s="7">
        <f>SUM(I24:I34)</f>
        <v>0</v>
      </c>
    </row>
    <row r="24" spans="1:15" ht="35.25" customHeight="1" x14ac:dyDescent="0.2">
      <c r="A24" s="24" t="s">
        <v>232</v>
      </c>
      <c r="B24" s="25" t="s">
        <v>48</v>
      </c>
      <c r="C24" s="25" t="s">
        <v>49</v>
      </c>
      <c r="D24" s="26" t="s">
        <v>25</v>
      </c>
      <c r="E24" s="27">
        <v>345.6</v>
      </c>
      <c r="F24" s="18">
        <f>(F45+F44-F59)*0.9*0.6-3.14*(0.08^2*F44+0.055^2*(F45-F59))</f>
        <v>43.209754400000016</v>
      </c>
      <c r="G24" s="16">
        <v>1</v>
      </c>
      <c r="H24" s="8"/>
      <c r="I24" s="8">
        <f t="shared" ref="I24:I34" si="2">ROUND(F24*G24*H24,2)</f>
        <v>0</v>
      </c>
    </row>
    <row r="25" spans="1:15" ht="45" x14ac:dyDescent="0.2">
      <c r="A25" s="24" t="s">
        <v>233</v>
      </c>
      <c r="B25" s="25" t="s">
        <v>50</v>
      </c>
      <c r="C25" s="25" t="s">
        <v>51</v>
      </c>
      <c r="D25" s="26" t="s">
        <v>25</v>
      </c>
      <c r="E25" s="27">
        <v>345.6</v>
      </c>
      <c r="F25" s="18">
        <f>F24</f>
        <v>43.209754400000016</v>
      </c>
      <c r="G25" s="16">
        <v>1</v>
      </c>
      <c r="H25" s="8"/>
      <c r="I25" s="8">
        <f t="shared" si="2"/>
        <v>0</v>
      </c>
    </row>
    <row r="26" spans="1:15" ht="30" x14ac:dyDescent="0.2">
      <c r="A26" s="24" t="s">
        <v>234</v>
      </c>
      <c r="B26" s="25" t="s">
        <v>52</v>
      </c>
      <c r="C26" s="25" t="s">
        <v>53</v>
      </c>
      <c r="D26" s="26" t="s">
        <v>25</v>
      </c>
      <c r="E26" s="27">
        <v>1041.0999999999999</v>
      </c>
      <c r="F26" s="18">
        <f>F25+F27</f>
        <v>0</v>
      </c>
      <c r="G26" s="16">
        <v>1</v>
      </c>
      <c r="H26" s="8"/>
      <c r="I26" s="8">
        <f t="shared" si="2"/>
        <v>0</v>
      </c>
    </row>
    <row r="27" spans="1:15" ht="45" x14ac:dyDescent="0.2">
      <c r="A27" s="24" t="s">
        <v>235</v>
      </c>
      <c r="B27" s="25" t="s">
        <v>54</v>
      </c>
      <c r="C27" s="25" t="s">
        <v>55</v>
      </c>
      <c r="D27" s="26" t="s">
        <v>25</v>
      </c>
      <c r="E27" s="27">
        <v>695.5</v>
      </c>
      <c r="F27" s="18">
        <f>F17+F18+F20-F24</f>
        <v>-43.209754400000016</v>
      </c>
      <c r="G27" s="16">
        <v>1</v>
      </c>
      <c r="H27" s="8"/>
      <c r="I27" s="8">
        <f t="shared" si="2"/>
        <v>0</v>
      </c>
    </row>
    <row r="28" spans="1:15" ht="30" x14ac:dyDescent="0.2">
      <c r="A28" s="24" t="s">
        <v>236</v>
      </c>
      <c r="B28" s="25" t="s">
        <v>56</v>
      </c>
      <c r="C28" s="25" t="s">
        <v>57</v>
      </c>
      <c r="D28" s="26" t="s">
        <v>15</v>
      </c>
      <c r="E28" s="27">
        <v>335</v>
      </c>
      <c r="F28" s="18">
        <f>(26+6+2)*2</f>
        <v>68</v>
      </c>
      <c r="G28" s="16">
        <v>1</v>
      </c>
      <c r="H28" s="8"/>
      <c r="I28" s="8">
        <f t="shared" si="2"/>
        <v>0</v>
      </c>
    </row>
    <row r="29" spans="1:15" ht="45" x14ac:dyDescent="0.2">
      <c r="A29" s="24" t="s">
        <v>237</v>
      </c>
      <c r="B29" s="25" t="s">
        <v>58</v>
      </c>
      <c r="C29" s="25" t="s">
        <v>60</v>
      </c>
      <c r="D29" s="26" t="s">
        <v>59</v>
      </c>
      <c r="E29" s="27">
        <v>3.4000000000000002E-2</v>
      </c>
      <c r="F29" s="18">
        <f>F28/1000</f>
        <v>6.8000000000000005E-2</v>
      </c>
      <c r="G29" s="16">
        <v>1</v>
      </c>
      <c r="H29" s="8"/>
      <c r="I29" s="8">
        <f t="shared" si="2"/>
        <v>0</v>
      </c>
    </row>
    <row r="30" spans="1:15" ht="30" x14ac:dyDescent="0.2">
      <c r="A30" s="24" t="s">
        <v>238</v>
      </c>
      <c r="B30" s="25" t="s">
        <v>61</v>
      </c>
      <c r="C30" s="25" t="s">
        <v>63</v>
      </c>
      <c r="D30" s="26" t="s">
        <v>62</v>
      </c>
      <c r="E30" s="27">
        <v>20</v>
      </c>
      <c r="F30" s="30">
        <v>4</v>
      </c>
      <c r="G30" s="16">
        <v>1</v>
      </c>
      <c r="H30" s="8"/>
      <c r="I30" s="8">
        <f t="shared" si="2"/>
        <v>0</v>
      </c>
    </row>
    <row r="31" spans="1:15" ht="30" x14ac:dyDescent="0.2">
      <c r="A31" s="24" t="s">
        <v>239</v>
      </c>
      <c r="B31" s="25" t="s">
        <v>64</v>
      </c>
      <c r="C31" s="25" t="s">
        <v>65</v>
      </c>
      <c r="D31" s="26" t="s">
        <v>62</v>
      </c>
      <c r="E31" s="27">
        <v>20</v>
      </c>
      <c r="F31" s="30">
        <v>4</v>
      </c>
      <c r="G31" s="16">
        <v>1</v>
      </c>
      <c r="H31" s="8"/>
      <c r="I31" s="8">
        <f>ROUND(F31*G31*H31,2)</f>
        <v>0</v>
      </c>
    </row>
    <row r="32" spans="1:15" ht="45" x14ac:dyDescent="0.2">
      <c r="A32" s="24" t="s">
        <v>240</v>
      </c>
      <c r="B32" s="25" t="s">
        <v>66</v>
      </c>
      <c r="C32" s="25" t="s">
        <v>67</v>
      </c>
      <c r="D32" s="26" t="s">
        <v>62</v>
      </c>
      <c r="E32" s="27">
        <v>38</v>
      </c>
      <c r="F32" s="30">
        <v>11</v>
      </c>
      <c r="G32" s="16">
        <v>1</v>
      </c>
      <c r="H32" s="8"/>
      <c r="I32" s="8">
        <f t="shared" si="2"/>
        <v>0</v>
      </c>
    </row>
    <row r="33" spans="1:9" ht="45" x14ac:dyDescent="0.2">
      <c r="A33" s="24" t="s">
        <v>241</v>
      </c>
      <c r="B33" s="25" t="s">
        <v>68</v>
      </c>
      <c r="C33" s="25" t="s">
        <v>69</v>
      </c>
      <c r="D33" s="26" t="s">
        <v>62</v>
      </c>
      <c r="E33" s="27">
        <v>38</v>
      </c>
      <c r="F33" s="30">
        <v>11</v>
      </c>
      <c r="G33" s="16">
        <v>1</v>
      </c>
      <c r="H33" s="8"/>
      <c r="I33" s="8">
        <f t="shared" si="2"/>
        <v>0</v>
      </c>
    </row>
    <row r="34" spans="1:9" ht="30" x14ac:dyDescent="0.2">
      <c r="A34" s="24" t="s">
        <v>242</v>
      </c>
      <c r="B34" s="25" t="s">
        <v>70</v>
      </c>
      <c r="C34" s="25" t="s">
        <v>71</v>
      </c>
      <c r="D34" s="26" t="s">
        <v>13</v>
      </c>
      <c r="E34" s="27">
        <v>76</v>
      </c>
      <c r="F34" s="18">
        <f>11*2</f>
        <v>22</v>
      </c>
      <c r="G34" s="16">
        <v>1</v>
      </c>
      <c r="H34" s="8"/>
      <c r="I34" s="8">
        <f t="shared" si="2"/>
        <v>0</v>
      </c>
    </row>
    <row r="35" spans="1:9" ht="15" x14ac:dyDescent="0.25">
      <c r="A35" s="19" t="s">
        <v>243</v>
      </c>
      <c r="B35" s="20" t="s">
        <v>10</v>
      </c>
      <c r="C35" s="20" t="s">
        <v>329</v>
      </c>
      <c r="D35" s="21"/>
      <c r="E35" s="22"/>
      <c r="F35" s="23"/>
      <c r="G35" s="21"/>
      <c r="H35" s="7"/>
      <c r="I35" s="7">
        <f>SUM(I36:I69)</f>
        <v>0</v>
      </c>
    </row>
    <row r="36" spans="1:9" ht="45" x14ac:dyDescent="0.2">
      <c r="A36" s="24" t="s">
        <v>244</v>
      </c>
      <c r="B36" s="25" t="s">
        <v>73</v>
      </c>
      <c r="C36" s="25" t="s">
        <v>74</v>
      </c>
      <c r="D36" s="26" t="s">
        <v>13</v>
      </c>
      <c r="E36" s="27">
        <v>640</v>
      </c>
      <c r="F36" s="18">
        <f>F44+F45-F59</f>
        <v>82.100000000000023</v>
      </c>
      <c r="G36" s="16">
        <v>1</v>
      </c>
      <c r="H36" s="8"/>
      <c r="I36" s="8">
        <f t="shared" ref="I36:I69" si="3">ROUND(F36*G36*H36,2)</f>
        <v>0</v>
      </c>
    </row>
    <row r="37" spans="1:9" ht="30" customHeight="1" x14ac:dyDescent="0.2">
      <c r="A37" s="24" t="s">
        <v>245</v>
      </c>
      <c r="B37" s="25" t="s">
        <v>75</v>
      </c>
      <c r="C37" s="25" t="s">
        <v>77</v>
      </c>
      <c r="D37" s="26" t="s">
        <v>76</v>
      </c>
      <c r="E37" s="27">
        <v>20</v>
      </c>
      <c r="F37" s="30">
        <v>7</v>
      </c>
      <c r="G37" s="16">
        <v>1</v>
      </c>
      <c r="H37" s="8"/>
      <c r="I37" s="8">
        <f t="shared" si="3"/>
        <v>0</v>
      </c>
    </row>
    <row r="38" spans="1:9" ht="30" x14ac:dyDescent="0.2">
      <c r="A38" s="24" t="s">
        <v>246</v>
      </c>
      <c r="B38" s="25" t="s">
        <v>208</v>
      </c>
      <c r="C38" s="25" t="s">
        <v>209</v>
      </c>
      <c r="D38" s="26" t="s">
        <v>62</v>
      </c>
      <c r="E38" s="27"/>
      <c r="F38" s="30">
        <v>1</v>
      </c>
      <c r="G38" s="16">
        <v>1</v>
      </c>
      <c r="H38" s="8"/>
      <c r="I38" s="8">
        <f t="shared" si="3"/>
        <v>0</v>
      </c>
    </row>
    <row r="39" spans="1:9" ht="30" x14ac:dyDescent="0.2">
      <c r="A39" s="24" t="s">
        <v>247</v>
      </c>
      <c r="B39" s="25" t="s">
        <v>208</v>
      </c>
      <c r="C39" s="25" t="s">
        <v>345</v>
      </c>
      <c r="D39" s="26" t="s">
        <v>62</v>
      </c>
      <c r="E39" s="27"/>
      <c r="F39" s="30">
        <v>2</v>
      </c>
      <c r="G39" s="16">
        <v>1</v>
      </c>
      <c r="H39" s="8"/>
      <c r="I39" s="8">
        <f t="shared" si="3"/>
        <v>0</v>
      </c>
    </row>
    <row r="40" spans="1:9" ht="30" x14ac:dyDescent="0.2">
      <c r="A40" s="24" t="s">
        <v>248</v>
      </c>
      <c r="B40" s="25" t="s">
        <v>78</v>
      </c>
      <c r="C40" s="25" t="s">
        <v>210</v>
      </c>
      <c r="D40" s="26" t="s">
        <v>62</v>
      </c>
      <c r="E40" s="27"/>
      <c r="F40" s="30">
        <v>1</v>
      </c>
      <c r="G40" s="16">
        <v>1</v>
      </c>
      <c r="H40" s="8"/>
      <c r="I40" s="8">
        <f t="shared" si="3"/>
        <v>0</v>
      </c>
    </row>
    <row r="41" spans="1:9" ht="30" x14ac:dyDescent="0.2">
      <c r="A41" s="24" t="s">
        <v>249</v>
      </c>
      <c r="B41" s="25" t="s">
        <v>79</v>
      </c>
      <c r="C41" s="25" t="s">
        <v>80</v>
      </c>
      <c r="D41" s="26" t="s">
        <v>62</v>
      </c>
      <c r="E41" s="27">
        <v>10</v>
      </c>
      <c r="F41" s="30">
        <v>3</v>
      </c>
      <c r="G41" s="16">
        <v>1</v>
      </c>
      <c r="H41" s="8"/>
      <c r="I41" s="8">
        <f t="shared" si="3"/>
        <v>0</v>
      </c>
    </row>
    <row r="42" spans="1:9" ht="30" x14ac:dyDescent="0.2">
      <c r="A42" s="24" t="s">
        <v>250</v>
      </c>
      <c r="B42" s="25" t="s">
        <v>81</v>
      </c>
      <c r="C42" s="25" t="s">
        <v>82</v>
      </c>
      <c r="D42" s="26" t="s">
        <v>62</v>
      </c>
      <c r="E42" s="27">
        <v>5</v>
      </c>
      <c r="F42" s="30">
        <v>4</v>
      </c>
      <c r="G42" s="16">
        <v>1</v>
      </c>
      <c r="H42" s="8"/>
      <c r="I42" s="8">
        <f t="shared" si="3"/>
        <v>0</v>
      </c>
    </row>
    <row r="43" spans="1:9" ht="30" x14ac:dyDescent="0.2">
      <c r="A43" s="24" t="s">
        <v>251</v>
      </c>
      <c r="B43" s="25" t="s">
        <v>334</v>
      </c>
      <c r="C43" s="25" t="s">
        <v>346</v>
      </c>
      <c r="D43" s="26" t="s">
        <v>62</v>
      </c>
      <c r="E43" s="27"/>
      <c r="F43" s="31">
        <v>2</v>
      </c>
      <c r="G43" s="16">
        <v>1</v>
      </c>
      <c r="H43" s="8"/>
      <c r="I43" s="8">
        <f t="shared" si="3"/>
        <v>0</v>
      </c>
    </row>
    <row r="44" spans="1:9" ht="30" x14ac:dyDescent="0.2">
      <c r="A44" s="24" t="s">
        <v>252</v>
      </c>
      <c r="B44" s="25" t="s">
        <v>84</v>
      </c>
      <c r="C44" s="25" t="s">
        <v>85</v>
      </c>
      <c r="D44" s="26" t="s">
        <v>13</v>
      </c>
      <c r="E44" s="27">
        <v>322</v>
      </c>
      <c r="F44" s="18">
        <v>32.5</v>
      </c>
      <c r="G44" s="16">
        <v>1</v>
      </c>
      <c r="H44" s="8"/>
      <c r="I44" s="8">
        <f t="shared" si="3"/>
        <v>0</v>
      </c>
    </row>
    <row r="45" spans="1:9" ht="30" x14ac:dyDescent="0.2">
      <c r="A45" s="24" t="s">
        <v>253</v>
      </c>
      <c r="B45" s="25" t="s">
        <v>86</v>
      </c>
      <c r="C45" s="25" t="s">
        <v>87</v>
      </c>
      <c r="D45" s="26" t="s">
        <v>13</v>
      </c>
      <c r="E45" s="27">
        <v>388</v>
      </c>
      <c r="F45" s="18">
        <f>27.8+189.8</f>
        <v>217.60000000000002</v>
      </c>
      <c r="G45" s="16">
        <v>1</v>
      </c>
      <c r="H45" s="8"/>
      <c r="I45" s="8">
        <f t="shared" si="3"/>
        <v>0</v>
      </c>
    </row>
    <row r="46" spans="1:9" ht="30" x14ac:dyDescent="0.2">
      <c r="A46" s="24" t="s">
        <v>254</v>
      </c>
      <c r="B46" s="25" t="s">
        <v>88</v>
      </c>
      <c r="C46" s="25" t="s">
        <v>217</v>
      </c>
      <c r="D46" s="26" t="s">
        <v>76</v>
      </c>
      <c r="E46" s="27">
        <v>3</v>
      </c>
      <c r="F46" s="30">
        <v>1</v>
      </c>
      <c r="G46" s="16">
        <v>1</v>
      </c>
      <c r="H46" s="8"/>
      <c r="I46" s="8">
        <f t="shared" si="3"/>
        <v>0</v>
      </c>
    </row>
    <row r="47" spans="1:9" ht="30" x14ac:dyDescent="0.2">
      <c r="A47" s="24" t="s">
        <v>255</v>
      </c>
      <c r="B47" s="25" t="s">
        <v>90</v>
      </c>
      <c r="C47" s="25" t="s">
        <v>91</v>
      </c>
      <c r="D47" s="26" t="s">
        <v>76</v>
      </c>
      <c r="E47" s="27"/>
      <c r="F47" s="30">
        <v>1</v>
      </c>
      <c r="G47" s="16">
        <v>1</v>
      </c>
      <c r="H47" s="8"/>
      <c r="I47" s="8">
        <f t="shared" si="3"/>
        <v>0</v>
      </c>
    </row>
    <row r="48" spans="1:9" ht="30" x14ac:dyDescent="0.2">
      <c r="A48" s="24" t="s">
        <v>256</v>
      </c>
      <c r="B48" s="25" t="s">
        <v>89</v>
      </c>
      <c r="C48" s="25" t="s">
        <v>340</v>
      </c>
      <c r="D48" s="26" t="s">
        <v>76</v>
      </c>
      <c r="E48" s="27">
        <v>2</v>
      </c>
      <c r="F48" s="30">
        <v>2</v>
      </c>
      <c r="G48" s="16">
        <v>1</v>
      </c>
      <c r="H48" s="8"/>
      <c r="I48" s="8">
        <f t="shared" si="3"/>
        <v>0</v>
      </c>
    </row>
    <row r="49" spans="1:9" ht="30" x14ac:dyDescent="0.2">
      <c r="A49" s="24" t="s">
        <v>257</v>
      </c>
      <c r="B49" s="25" t="s">
        <v>347</v>
      </c>
      <c r="C49" s="25" t="s">
        <v>348</v>
      </c>
      <c r="D49" s="26" t="s">
        <v>76</v>
      </c>
      <c r="E49" s="27"/>
      <c r="F49" s="30">
        <v>1</v>
      </c>
      <c r="G49" s="16">
        <v>1</v>
      </c>
      <c r="H49" s="8"/>
      <c r="I49" s="8">
        <f t="shared" si="3"/>
        <v>0</v>
      </c>
    </row>
    <row r="50" spans="1:9" ht="30" x14ac:dyDescent="0.2">
      <c r="A50" s="24" t="s">
        <v>258</v>
      </c>
      <c r="B50" s="25" t="s">
        <v>92</v>
      </c>
      <c r="C50" s="25" t="s">
        <v>333</v>
      </c>
      <c r="D50" s="26" t="s">
        <v>76</v>
      </c>
      <c r="E50" s="27">
        <v>8</v>
      </c>
      <c r="F50" s="30">
        <v>6</v>
      </c>
      <c r="G50" s="16">
        <v>1</v>
      </c>
      <c r="H50" s="8"/>
      <c r="I50" s="8">
        <f t="shared" si="3"/>
        <v>0</v>
      </c>
    </row>
    <row r="51" spans="1:9" ht="30" x14ac:dyDescent="0.2">
      <c r="A51" s="24" t="s">
        <v>259</v>
      </c>
      <c r="B51" s="25" t="s">
        <v>93</v>
      </c>
      <c r="C51" s="25" t="s">
        <v>350</v>
      </c>
      <c r="D51" s="26" t="s">
        <v>76</v>
      </c>
      <c r="E51" s="27">
        <v>4</v>
      </c>
      <c r="F51" s="30">
        <v>2</v>
      </c>
      <c r="G51" s="16">
        <v>1</v>
      </c>
      <c r="H51" s="8"/>
      <c r="I51" s="8">
        <f t="shared" si="3"/>
        <v>0</v>
      </c>
    </row>
    <row r="52" spans="1:9" ht="45" x14ac:dyDescent="0.2">
      <c r="A52" s="24" t="s">
        <v>260</v>
      </c>
      <c r="B52" s="25" t="s">
        <v>94</v>
      </c>
      <c r="C52" s="25" t="s">
        <v>215</v>
      </c>
      <c r="D52" s="26" t="s">
        <v>76</v>
      </c>
      <c r="E52" s="27">
        <v>7</v>
      </c>
      <c r="F52" s="30">
        <v>2</v>
      </c>
      <c r="G52" s="16">
        <v>1</v>
      </c>
      <c r="H52" s="8"/>
      <c r="I52" s="8">
        <f t="shared" si="3"/>
        <v>0</v>
      </c>
    </row>
    <row r="53" spans="1:9" ht="45" x14ac:dyDescent="0.2">
      <c r="A53" s="24" t="s">
        <v>261</v>
      </c>
      <c r="B53" s="25" t="s">
        <v>95</v>
      </c>
      <c r="C53" s="25" t="s">
        <v>216</v>
      </c>
      <c r="D53" s="26" t="s">
        <v>76</v>
      </c>
      <c r="E53" s="27">
        <v>10</v>
      </c>
      <c r="F53" s="30">
        <v>7</v>
      </c>
      <c r="G53" s="16">
        <v>1</v>
      </c>
      <c r="H53" s="8"/>
      <c r="I53" s="8">
        <f t="shared" si="3"/>
        <v>0</v>
      </c>
    </row>
    <row r="54" spans="1:9" ht="45" x14ac:dyDescent="0.2">
      <c r="A54" s="24" t="s">
        <v>262</v>
      </c>
      <c r="B54" s="25" t="s">
        <v>351</v>
      </c>
      <c r="C54" s="25" t="s">
        <v>352</v>
      </c>
      <c r="D54" s="26" t="s">
        <v>76</v>
      </c>
      <c r="E54" s="27"/>
      <c r="F54" s="30">
        <v>2</v>
      </c>
      <c r="G54" s="16">
        <v>1</v>
      </c>
      <c r="H54" s="8"/>
      <c r="I54" s="8">
        <f t="shared" si="3"/>
        <v>0</v>
      </c>
    </row>
    <row r="55" spans="1:9" ht="30" x14ac:dyDescent="0.2">
      <c r="A55" s="24" t="s">
        <v>263</v>
      </c>
      <c r="B55" s="25" t="s">
        <v>94</v>
      </c>
      <c r="C55" s="25" t="s">
        <v>218</v>
      </c>
      <c r="D55" s="26" t="s">
        <v>76</v>
      </c>
      <c r="E55" s="27">
        <v>7</v>
      </c>
      <c r="F55" s="30">
        <v>1</v>
      </c>
      <c r="G55" s="16">
        <v>1</v>
      </c>
      <c r="H55" s="8"/>
      <c r="I55" s="8">
        <f t="shared" si="3"/>
        <v>0</v>
      </c>
    </row>
    <row r="56" spans="1:9" ht="30" x14ac:dyDescent="0.2">
      <c r="A56" s="24" t="s">
        <v>264</v>
      </c>
      <c r="B56" s="25" t="s">
        <v>97</v>
      </c>
      <c r="C56" s="25" t="s">
        <v>98</v>
      </c>
      <c r="D56" s="26" t="s">
        <v>76</v>
      </c>
      <c r="E56" s="27">
        <v>1</v>
      </c>
      <c r="F56" s="30">
        <v>1</v>
      </c>
      <c r="G56" s="16">
        <v>1</v>
      </c>
      <c r="H56" s="8"/>
      <c r="I56" s="8">
        <f t="shared" si="3"/>
        <v>0</v>
      </c>
    </row>
    <row r="57" spans="1:9" ht="45" x14ac:dyDescent="0.2">
      <c r="A57" s="24" t="s">
        <v>265</v>
      </c>
      <c r="B57" s="25" t="s">
        <v>100</v>
      </c>
      <c r="C57" s="25" t="s">
        <v>102</v>
      </c>
      <c r="D57" s="26" t="s">
        <v>101</v>
      </c>
      <c r="E57" s="27">
        <v>75</v>
      </c>
      <c r="F57" s="30">
        <v>3</v>
      </c>
      <c r="G57" s="16">
        <v>1</v>
      </c>
      <c r="H57" s="8"/>
      <c r="I57" s="8">
        <f t="shared" si="3"/>
        <v>0</v>
      </c>
    </row>
    <row r="58" spans="1:9" ht="33.75" customHeight="1" x14ac:dyDescent="0.2">
      <c r="A58" s="24" t="s">
        <v>266</v>
      </c>
      <c r="B58" s="25" t="s">
        <v>103</v>
      </c>
      <c r="C58" s="25" t="s">
        <v>104</v>
      </c>
      <c r="D58" s="26" t="s">
        <v>101</v>
      </c>
      <c r="E58" s="27">
        <v>77</v>
      </c>
      <c r="F58" s="30">
        <f>(F44+F45)/12</f>
        <v>20.841666666666669</v>
      </c>
      <c r="G58" s="16">
        <v>1</v>
      </c>
      <c r="H58" s="8"/>
      <c r="I58" s="8">
        <f t="shared" si="3"/>
        <v>0</v>
      </c>
    </row>
    <row r="59" spans="1:9" ht="30" x14ac:dyDescent="0.2">
      <c r="A59" s="24" t="s">
        <v>267</v>
      </c>
      <c r="B59" s="25" t="s">
        <v>78</v>
      </c>
      <c r="C59" s="25" t="s">
        <v>106</v>
      </c>
      <c r="D59" s="26" t="s">
        <v>105</v>
      </c>
      <c r="E59" s="27">
        <v>68</v>
      </c>
      <c r="F59" s="18">
        <f>168</f>
        <v>168</v>
      </c>
      <c r="G59" s="16">
        <v>1</v>
      </c>
      <c r="H59" s="8"/>
      <c r="I59" s="8">
        <f t="shared" si="3"/>
        <v>0</v>
      </c>
    </row>
    <row r="60" spans="1:9" ht="30" x14ac:dyDescent="0.2">
      <c r="A60" s="24" t="s">
        <v>268</v>
      </c>
      <c r="B60" s="25" t="s">
        <v>107</v>
      </c>
      <c r="C60" s="25" t="s">
        <v>108</v>
      </c>
      <c r="D60" s="26" t="s">
        <v>62</v>
      </c>
      <c r="E60" s="27">
        <v>2</v>
      </c>
      <c r="F60" s="18">
        <v>1</v>
      </c>
      <c r="G60" s="16">
        <v>1</v>
      </c>
      <c r="H60" s="8"/>
      <c r="I60" s="8">
        <f t="shared" si="3"/>
        <v>0</v>
      </c>
    </row>
    <row r="61" spans="1:9" ht="30" x14ac:dyDescent="0.2">
      <c r="A61" s="24" t="s">
        <v>269</v>
      </c>
      <c r="B61" s="25" t="s">
        <v>109</v>
      </c>
      <c r="C61" s="25" t="s">
        <v>110</v>
      </c>
      <c r="D61" s="26" t="s">
        <v>62</v>
      </c>
      <c r="E61" s="27">
        <v>3</v>
      </c>
      <c r="F61" s="18">
        <v>1</v>
      </c>
      <c r="G61" s="16">
        <v>1</v>
      </c>
      <c r="H61" s="8"/>
      <c r="I61" s="8">
        <f t="shared" si="3"/>
        <v>0</v>
      </c>
    </row>
    <row r="62" spans="1:9" ht="30" x14ac:dyDescent="0.2">
      <c r="A62" s="24" t="s">
        <v>270</v>
      </c>
      <c r="B62" s="25" t="s">
        <v>111</v>
      </c>
      <c r="C62" s="25" t="s">
        <v>112</v>
      </c>
      <c r="D62" s="26" t="s">
        <v>15</v>
      </c>
      <c r="E62" s="27">
        <v>12</v>
      </c>
      <c r="F62" s="18">
        <f>12*0.3</f>
        <v>3.5999999999999996</v>
      </c>
      <c r="G62" s="16">
        <v>1</v>
      </c>
      <c r="H62" s="8"/>
      <c r="I62" s="8">
        <f t="shared" si="3"/>
        <v>0</v>
      </c>
    </row>
    <row r="63" spans="1:9" ht="30" x14ac:dyDescent="0.2">
      <c r="A63" s="24" t="s">
        <v>271</v>
      </c>
      <c r="B63" s="25" t="s">
        <v>113</v>
      </c>
      <c r="C63" s="25" t="s">
        <v>114</v>
      </c>
      <c r="D63" s="26" t="s">
        <v>25</v>
      </c>
      <c r="E63" s="27">
        <v>6</v>
      </c>
      <c r="F63" s="18">
        <f>6*0.3</f>
        <v>1.7999999999999998</v>
      </c>
      <c r="G63" s="16">
        <v>1</v>
      </c>
      <c r="H63" s="8"/>
      <c r="I63" s="8">
        <f t="shared" si="3"/>
        <v>0</v>
      </c>
    </row>
    <row r="64" spans="1:9" ht="45" x14ac:dyDescent="0.2">
      <c r="A64" s="24" t="s">
        <v>272</v>
      </c>
      <c r="B64" s="25" t="s">
        <v>115</v>
      </c>
      <c r="C64" s="25" t="s">
        <v>116</v>
      </c>
      <c r="D64" s="26" t="s">
        <v>13</v>
      </c>
      <c r="E64" s="27">
        <v>640</v>
      </c>
      <c r="F64" s="18">
        <f>F44+F45-F59</f>
        <v>82.100000000000023</v>
      </c>
      <c r="G64" s="16">
        <v>1</v>
      </c>
      <c r="H64" s="8"/>
      <c r="I64" s="8">
        <f t="shared" si="3"/>
        <v>0</v>
      </c>
    </row>
    <row r="65" spans="1:9" ht="30" x14ac:dyDescent="0.2">
      <c r="A65" s="24" t="s">
        <v>273</v>
      </c>
      <c r="B65" s="25" t="s">
        <v>117</v>
      </c>
      <c r="C65" s="25" t="s">
        <v>118</v>
      </c>
      <c r="D65" s="26" t="s">
        <v>62</v>
      </c>
      <c r="E65" s="27">
        <v>23</v>
      </c>
      <c r="F65" s="18">
        <v>3</v>
      </c>
      <c r="G65" s="16">
        <v>1</v>
      </c>
      <c r="H65" s="8"/>
      <c r="I65" s="8">
        <f t="shared" si="3"/>
        <v>0</v>
      </c>
    </row>
    <row r="66" spans="1:9" ht="30" x14ac:dyDescent="0.2">
      <c r="A66" s="24" t="s">
        <v>335</v>
      </c>
      <c r="B66" s="25" t="s">
        <v>119</v>
      </c>
      <c r="C66" s="25" t="s">
        <v>121</v>
      </c>
      <c r="D66" s="26" t="s">
        <v>120</v>
      </c>
      <c r="E66" s="27">
        <v>4</v>
      </c>
      <c r="F66" s="18">
        <f>F67</f>
        <v>1.2505000000000002</v>
      </c>
      <c r="G66" s="16">
        <v>1</v>
      </c>
      <c r="H66" s="8"/>
      <c r="I66" s="8">
        <f t="shared" si="3"/>
        <v>0</v>
      </c>
    </row>
    <row r="67" spans="1:9" ht="30" x14ac:dyDescent="0.2">
      <c r="A67" s="24" t="s">
        <v>341</v>
      </c>
      <c r="B67" s="25" t="s">
        <v>122</v>
      </c>
      <c r="C67" s="25" t="s">
        <v>123</v>
      </c>
      <c r="D67" s="26" t="s">
        <v>120</v>
      </c>
      <c r="E67" s="27">
        <v>4</v>
      </c>
      <c r="F67" s="18">
        <f>(F44+F45)/200</f>
        <v>1.2505000000000002</v>
      </c>
      <c r="G67" s="16">
        <v>1</v>
      </c>
      <c r="H67" s="8"/>
      <c r="I67" s="8">
        <f t="shared" si="3"/>
        <v>0</v>
      </c>
    </row>
    <row r="68" spans="1:9" ht="45" x14ac:dyDescent="0.2">
      <c r="A68" s="24" t="s">
        <v>349</v>
      </c>
      <c r="B68" s="25" t="s">
        <v>124</v>
      </c>
      <c r="C68" s="25" t="s">
        <v>126</v>
      </c>
      <c r="D68" s="26" t="s">
        <v>125</v>
      </c>
      <c r="E68" s="27">
        <v>2</v>
      </c>
      <c r="F68" s="18">
        <f>F67</f>
        <v>1.2505000000000002</v>
      </c>
      <c r="G68" s="16">
        <v>1</v>
      </c>
      <c r="H68" s="8"/>
      <c r="I68" s="8">
        <f t="shared" si="3"/>
        <v>0</v>
      </c>
    </row>
    <row r="69" spans="1:9" ht="45" x14ac:dyDescent="0.2">
      <c r="A69" s="24" t="s">
        <v>353</v>
      </c>
      <c r="B69" s="25" t="s">
        <v>127</v>
      </c>
      <c r="C69" s="25" t="s">
        <v>128</v>
      </c>
      <c r="D69" s="26" t="s">
        <v>125</v>
      </c>
      <c r="E69" s="27">
        <v>2</v>
      </c>
      <c r="F69" s="18">
        <f>F67</f>
        <v>1.2505000000000002</v>
      </c>
      <c r="G69" s="16">
        <v>1</v>
      </c>
      <c r="H69" s="8"/>
      <c r="I69" s="8">
        <f t="shared" si="3"/>
        <v>0</v>
      </c>
    </row>
    <row r="70" spans="1:9" s="6" customFormat="1" ht="15" x14ac:dyDescent="0.25">
      <c r="A70" s="19" t="s">
        <v>274</v>
      </c>
      <c r="B70" s="20" t="s">
        <v>10</v>
      </c>
      <c r="C70" s="20" t="s">
        <v>130</v>
      </c>
      <c r="D70" s="21" t="s">
        <v>205</v>
      </c>
      <c r="E70" s="22" t="s">
        <v>205</v>
      </c>
      <c r="F70" s="23"/>
      <c r="G70" s="21" t="s">
        <v>205</v>
      </c>
      <c r="H70" s="7"/>
      <c r="I70" s="7">
        <f>SUM(I71:I80)</f>
        <v>0</v>
      </c>
    </row>
    <row r="71" spans="1:9" ht="30" x14ac:dyDescent="0.2">
      <c r="A71" s="24" t="s">
        <v>275</v>
      </c>
      <c r="B71" s="25" t="s">
        <v>131</v>
      </c>
      <c r="C71" s="25" t="s">
        <v>132</v>
      </c>
      <c r="D71" s="26" t="s">
        <v>15</v>
      </c>
      <c r="E71" s="27">
        <v>792.5</v>
      </c>
      <c r="F71" s="18">
        <f>F9</f>
        <v>0</v>
      </c>
      <c r="G71" s="16">
        <v>1</v>
      </c>
      <c r="H71" s="8"/>
      <c r="I71" s="8">
        <f t="shared" ref="I71:I80" si="4">ROUND(F71*G71*H71,2)</f>
        <v>0</v>
      </c>
    </row>
    <row r="72" spans="1:9" ht="30" x14ac:dyDescent="0.2">
      <c r="A72" s="24" t="s">
        <v>276</v>
      </c>
      <c r="B72" s="25" t="s">
        <v>133</v>
      </c>
      <c r="C72" s="25" t="s">
        <v>134</v>
      </c>
      <c r="D72" s="26" t="s">
        <v>15</v>
      </c>
      <c r="E72" s="27">
        <v>792.5</v>
      </c>
      <c r="F72" s="18">
        <f>F71</f>
        <v>0</v>
      </c>
      <c r="G72" s="16">
        <v>1</v>
      </c>
      <c r="H72" s="8"/>
      <c r="I72" s="8">
        <f t="shared" si="4"/>
        <v>0</v>
      </c>
    </row>
    <row r="73" spans="1:9" ht="30" x14ac:dyDescent="0.2">
      <c r="A73" s="24" t="s">
        <v>277</v>
      </c>
      <c r="B73" s="25" t="s">
        <v>135</v>
      </c>
      <c r="C73" s="25" t="s">
        <v>136</v>
      </c>
      <c r="D73" s="26" t="s">
        <v>15</v>
      </c>
      <c r="E73" s="27">
        <v>792.5</v>
      </c>
      <c r="F73" s="18">
        <f>F72</f>
        <v>0</v>
      </c>
      <c r="G73" s="16">
        <v>10</v>
      </c>
      <c r="H73" s="8"/>
      <c r="I73" s="8">
        <f t="shared" si="4"/>
        <v>0</v>
      </c>
    </row>
    <row r="74" spans="1:9" ht="45" x14ac:dyDescent="0.2">
      <c r="A74" s="24" t="s">
        <v>278</v>
      </c>
      <c r="B74" s="25" t="s">
        <v>137</v>
      </c>
      <c r="C74" s="25" t="s">
        <v>138</v>
      </c>
      <c r="D74" s="26" t="s">
        <v>15</v>
      </c>
      <c r="E74" s="27">
        <v>124.5</v>
      </c>
      <c r="F74" s="18">
        <f>F71</f>
        <v>0</v>
      </c>
      <c r="G74" s="16">
        <v>2</v>
      </c>
      <c r="H74" s="8"/>
      <c r="I74" s="8">
        <f t="shared" si="4"/>
        <v>0</v>
      </c>
    </row>
    <row r="75" spans="1:9" ht="45" x14ac:dyDescent="0.2">
      <c r="A75" s="24" t="s">
        <v>279</v>
      </c>
      <c r="B75" s="25" t="s">
        <v>139</v>
      </c>
      <c r="C75" s="25" t="s">
        <v>140</v>
      </c>
      <c r="D75" s="26" t="s">
        <v>15</v>
      </c>
      <c r="E75" s="27">
        <v>124.5</v>
      </c>
      <c r="F75" s="18">
        <f>F71</f>
        <v>0</v>
      </c>
      <c r="G75" s="16">
        <v>1</v>
      </c>
      <c r="H75" s="8"/>
      <c r="I75" s="8">
        <f t="shared" si="4"/>
        <v>0</v>
      </c>
    </row>
    <row r="76" spans="1:9" ht="45" x14ac:dyDescent="0.2">
      <c r="A76" s="24" t="s">
        <v>280</v>
      </c>
      <c r="B76" s="25" t="s">
        <v>141</v>
      </c>
      <c r="C76" s="25" t="s">
        <v>142</v>
      </c>
      <c r="D76" s="26" t="s">
        <v>15</v>
      </c>
      <c r="E76" s="27">
        <v>124.5</v>
      </c>
      <c r="F76" s="18">
        <f>F71</f>
        <v>0</v>
      </c>
      <c r="G76" s="16">
        <v>3</v>
      </c>
      <c r="H76" s="8"/>
      <c r="I76" s="8">
        <f>ROUND(F76*G76*H76,2)</f>
        <v>0</v>
      </c>
    </row>
    <row r="77" spans="1:9" ht="45" x14ac:dyDescent="0.2">
      <c r="A77" s="24" t="s">
        <v>281</v>
      </c>
      <c r="B77" s="25" t="s">
        <v>143</v>
      </c>
      <c r="C77" s="25" t="s">
        <v>144</v>
      </c>
      <c r="D77" s="26" t="s">
        <v>15</v>
      </c>
      <c r="E77" s="27">
        <v>630.5</v>
      </c>
      <c r="F77" s="18">
        <f>F11</f>
        <v>0</v>
      </c>
      <c r="G77" s="16">
        <v>1</v>
      </c>
      <c r="H77" s="8"/>
      <c r="I77" s="8">
        <f t="shared" si="4"/>
        <v>0</v>
      </c>
    </row>
    <row r="78" spans="1:9" ht="30" x14ac:dyDescent="0.2">
      <c r="A78" s="24" t="s">
        <v>282</v>
      </c>
      <c r="B78" s="25" t="s">
        <v>145</v>
      </c>
      <c r="C78" s="25" t="s">
        <v>146</v>
      </c>
      <c r="D78" s="25" t="s">
        <v>15</v>
      </c>
      <c r="E78" s="27"/>
      <c r="F78" s="18">
        <f>F12</f>
        <v>0</v>
      </c>
      <c r="G78" s="16">
        <v>1</v>
      </c>
      <c r="H78" s="8"/>
      <c r="I78" s="8">
        <f t="shared" si="4"/>
        <v>0</v>
      </c>
    </row>
    <row r="79" spans="1:9" ht="30" x14ac:dyDescent="0.2">
      <c r="A79" s="24" t="s">
        <v>342</v>
      </c>
      <c r="B79" s="25" t="s">
        <v>147</v>
      </c>
      <c r="C79" s="25" t="s">
        <v>148</v>
      </c>
      <c r="D79" s="25" t="s">
        <v>13</v>
      </c>
      <c r="E79" s="27"/>
      <c r="F79" s="18">
        <v>10</v>
      </c>
      <c r="G79" s="16">
        <v>1</v>
      </c>
      <c r="H79" s="8"/>
      <c r="I79" s="8">
        <f t="shared" si="4"/>
        <v>0</v>
      </c>
    </row>
    <row r="80" spans="1:9" ht="33.75" customHeight="1" x14ac:dyDescent="0.2">
      <c r="A80" s="24" t="s">
        <v>343</v>
      </c>
      <c r="B80" s="25" t="s">
        <v>149</v>
      </c>
      <c r="C80" s="25" t="s">
        <v>150</v>
      </c>
      <c r="D80" s="26" t="s">
        <v>13</v>
      </c>
      <c r="E80" s="27">
        <v>128</v>
      </c>
      <c r="F80" s="18">
        <f>6</f>
        <v>6</v>
      </c>
      <c r="G80" s="16">
        <v>1</v>
      </c>
      <c r="H80" s="8"/>
      <c r="I80" s="8">
        <f t="shared" si="4"/>
        <v>0</v>
      </c>
    </row>
    <row r="81" spans="1:9" ht="15" x14ac:dyDescent="0.25">
      <c r="A81" s="14" t="s">
        <v>283</v>
      </c>
      <c r="B81" s="15" t="s">
        <v>7</v>
      </c>
      <c r="C81" s="15" t="s">
        <v>212</v>
      </c>
      <c r="D81" s="16"/>
      <c r="E81" s="17"/>
      <c r="F81" s="18"/>
      <c r="G81" s="16"/>
      <c r="H81" s="8"/>
      <c r="I81" s="7">
        <f>I82+I89+I101+I121</f>
        <v>0</v>
      </c>
    </row>
    <row r="82" spans="1:9" ht="15" x14ac:dyDescent="0.25">
      <c r="A82" s="14" t="s">
        <v>284</v>
      </c>
      <c r="B82" s="15" t="s">
        <v>10</v>
      </c>
      <c r="C82" s="15" t="s">
        <v>328</v>
      </c>
      <c r="D82" s="16"/>
      <c r="E82" s="17"/>
      <c r="F82" s="18"/>
      <c r="G82" s="16"/>
      <c r="H82" s="8"/>
      <c r="I82" s="7">
        <f>SUM(I83:I88)</f>
        <v>0</v>
      </c>
    </row>
    <row r="83" spans="1:9" ht="30" x14ac:dyDescent="0.25">
      <c r="A83" s="24" t="s">
        <v>151</v>
      </c>
      <c r="B83" s="25" t="s">
        <v>12</v>
      </c>
      <c r="C83" s="25" t="s">
        <v>152</v>
      </c>
      <c r="D83" s="26" t="s">
        <v>13</v>
      </c>
      <c r="E83" s="17"/>
      <c r="F83" s="18">
        <v>17</v>
      </c>
      <c r="G83" s="16">
        <v>1</v>
      </c>
      <c r="H83" s="8"/>
      <c r="I83" s="8">
        <f t="shared" ref="I83:I87" si="5">ROUND(F83*G83*H83,2)</f>
        <v>0</v>
      </c>
    </row>
    <row r="84" spans="1:9" ht="45" x14ac:dyDescent="0.25">
      <c r="A84" s="32" t="s">
        <v>156</v>
      </c>
      <c r="B84" s="25" t="s">
        <v>20</v>
      </c>
      <c r="C84" s="25" t="s">
        <v>21</v>
      </c>
      <c r="D84" s="26" t="s">
        <v>15</v>
      </c>
      <c r="E84" s="17"/>
      <c r="F84" s="18">
        <f>(7.5+6.5)*1.5</f>
        <v>21</v>
      </c>
      <c r="G84" s="16">
        <v>1</v>
      </c>
      <c r="H84" s="8"/>
      <c r="I84" s="8">
        <f t="shared" si="5"/>
        <v>0</v>
      </c>
    </row>
    <row r="85" spans="1:9" ht="30" x14ac:dyDescent="0.25">
      <c r="A85" s="24" t="s">
        <v>162</v>
      </c>
      <c r="B85" s="25" t="s">
        <v>153</v>
      </c>
      <c r="C85" s="25" t="s">
        <v>154</v>
      </c>
      <c r="D85" s="26" t="s">
        <v>15</v>
      </c>
      <c r="E85" s="17"/>
      <c r="F85" s="18">
        <f>F84</f>
        <v>21</v>
      </c>
      <c r="G85" s="16">
        <v>1</v>
      </c>
      <c r="H85" s="8"/>
      <c r="I85" s="8">
        <f t="shared" si="5"/>
        <v>0</v>
      </c>
    </row>
    <row r="86" spans="1:9" ht="45" x14ac:dyDescent="0.25">
      <c r="A86" s="32" t="s">
        <v>165</v>
      </c>
      <c r="B86" s="25" t="s">
        <v>24</v>
      </c>
      <c r="C86" s="25" t="s">
        <v>26</v>
      </c>
      <c r="D86" s="26" t="s">
        <v>25</v>
      </c>
      <c r="E86" s="17"/>
      <c r="F86" s="18">
        <f>F84*0.15</f>
        <v>3.15</v>
      </c>
      <c r="G86" s="16">
        <v>1</v>
      </c>
      <c r="H86" s="8"/>
      <c r="I86" s="8">
        <f t="shared" si="5"/>
        <v>0</v>
      </c>
    </row>
    <row r="87" spans="1:9" ht="60" x14ac:dyDescent="0.25">
      <c r="A87" s="24" t="s">
        <v>181</v>
      </c>
      <c r="B87" s="25" t="s">
        <v>27</v>
      </c>
      <c r="C87" s="25" t="s">
        <v>337</v>
      </c>
      <c r="D87" s="26" t="s">
        <v>25</v>
      </c>
      <c r="E87" s="17"/>
      <c r="F87" s="18">
        <f>F86</f>
        <v>3.15</v>
      </c>
      <c r="G87" s="16">
        <v>4</v>
      </c>
      <c r="H87" s="8"/>
      <c r="I87" s="8">
        <f t="shared" si="5"/>
        <v>0</v>
      </c>
    </row>
    <row r="88" spans="1:9" ht="30" x14ac:dyDescent="0.2">
      <c r="A88" s="32" t="s">
        <v>338</v>
      </c>
      <c r="B88" s="25" t="s">
        <v>78</v>
      </c>
      <c r="C88" s="25" t="s">
        <v>155</v>
      </c>
      <c r="D88" s="26" t="s">
        <v>62</v>
      </c>
      <c r="E88" s="27">
        <v>10</v>
      </c>
      <c r="F88" s="30">
        <v>3</v>
      </c>
      <c r="G88" s="16">
        <v>1</v>
      </c>
      <c r="H88" s="8"/>
      <c r="I88" s="8">
        <f>ROUND(F88*G88*H88,2)</f>
        <v>0</v>
      </c>
    </row>
    <row r="89" spans="1:9" ht="15" x14ac:dyDescent="0.25">
      <c r="A89" s="14" t="s">
        <v>285</v>
      </c>
      <c r="B89" s="15" t="s">
        <v>10</v>
      </c>
      <c r="C89" s="15" t="s">
        <v>30</v>
      </c>
      <c r="D89" s="16"/>
      <c r="E89" s="17"/>
      <c r="F89" s="18"/>
      <c r="G89" s="16"/>
      <c r="H89" s="8"/>
      <c r="I89" s="7">
        <f>SUM(I90:I100)</f>
        <v>0</v>
      </c>
    </row>
    <row r="90" spans="1:9" ht="30" x14ac:dyDescent="0.2">
      <c r="A90" s="24" t="s">
        <v>286</v>
      </c>
      <c r="B90" s="25" t="s">
        <v>31</v>
      </c>
      <c r="C90" s="25" t="s">
        <v>33</v>
      </c>
      <c r="D90" s="26" t="s">
        <v>32</v>
      </c>
      <c r="E90" s="27">
        <v>0.29499999999999998</v>
      </c>
      <c r="F90" s="29">
        <f>(F109)/1000</f>
        <v>6.9400000000000003E-2</v>
      </c>
      <c r="G90" s="16">
        <v>1</v>
      </c>
      <c r="H90" s="8"/>
      <c r="I90" s="8">
        <f t="shared" ref="I90:I100" si="6">ROUND(F90*G90*H90,2)</f>
        <v>0</v>
      </c>
    </row>
    <row r="91" spans="1:9" ht="60" x14ac:dyDescent="0.2">
      <c r="A91" s="24" t="s">
        <v>287</v>
      </c>
      <c r="B91" s="25" t="s">
        <v>36</v>
      </c>
      <c r="C91" s="25" t="s">
        <v>37</v>
      </c>
      <c r="D91" s="26" t="s">
        <v>25</v>
      </c>
      <c r="E91" s="27">
        <v>159.30000000000001</v>
      </c>
      <c r="F91" s="18">
        <f>F102+3.14*0.0375^2*F109</f>
        <v>37.476000000000006</v>
      </c>
      <c r="G91" s="16">
        <v>1</v>
      </c>
      <c r="H91" s="8"/>
      <c r="I91" s="8">
        <f t="shared" si="6"/>
        <v>0</v>
      </c>
    </row>
    <row r="92" spans="1:9" ht="75" x14ac:dyDescent="0.2">
      <c r="A92" s="24" t="s">
        <v>288</v>
      </c>
      <c r="B92" s="25" t="s">
        <v>38</v>
      </c>
      <c r="C92" s="25" t="s">
        <v>157</v>
      </c>
      <c r="D92" s="26" t="s">
        <v>25</v>
      </c>
      <c r="E92" s="27">
        <v>159.30000000000001</v>
      </c>
      <c r="F92" s="18">
        <f>F91</f>
        <v>37.476000000000006</v>
      </c>
      <c r="G92" s="16">
        <v>1</v>
      </c>
      <c r="H92" s="8"/>
      <c r="I92" s="8">
        <f t="shared" si="6"/>
        <v>0</v>
      </c>
    </row>
    <row r="93" spans="1:9" ht="45" customHeight="1" x14ac:dyDescent="0.2">
      <c r="A93" s="24" t="s">
        <v>289</v>
      </c>
      <c r="B93" s="25" t="s">
        <v>158</v>
      </c>
      <c r="C93" s="25" t="s">
        <v>159</v>
      </c>
      <c r="D93" s="26" t="s">
        <v>25</v>
      </c>
      <c r="E93" s="27">
        <v>203</v>
      </c>
      <c r="F93" s="18">
        <f>((F109)*0.9*1.6-F102+2*1.5*1.6*2)*80%</f>
        <v>57.893155500000013</v>
      </c>
      <c r="G93" s="16">
        <v>1</v>
      </c>
      <c r="H93" s="8"/>
      <c r="I93" s="8">
        <f t="shared" si="6"/>
        <v>0</v>
      </c>
    </row>
    <row r="94" spans="1:9" ht="62.25" customHeight="1" x14ac:dyDescent="0.2">
      <c r="A94" s="24" t="s">
        <v>290</v>
      </c>
      <c r="B94" s="25" t="s">
        <v>40</v>
      </c>
      <c r="C94" s="25" t="s">
        <v>160</v>
      </c>
      <c r="D94" s="26" t="s">
        <v>25</v>
      </c>
      <c r="E94" s="27">
        <v>50.76</v>
      </c>
      <c r="F94" s="18">
        <f>((F109)*0.9*1.6-F102+2*1.5*1.6*2)*20%</f>
        <v>14.473288875000003</v>
      </c>
      <c r="G94" s="16">
        <v>1</v>
      </c>
      <c r="H94" s="8"/>
      <c r="I94" s="8">
        <f t="shared" si="6"/>
        <v>0</v>
      </c>
    </row>
    <row r="95" spans="1:9" ht="60.75" customHeight="1" x14ac:dyDescent="0.2">
      <c r="A95" s="24" t="s">
        <v>291</v>
      </c>
      <c r="B95" s="25" t="s">
        <v>42</v>
      </c>
      <c r="C95" s="25" t="s">
        <v>43</v>
      </c>
      <c r="D95" s="26" t="s">
        <v>15</v>
      </c>
      <c r="E95" s="27">
        <v>944</v>
      </c>
      <c r="F95" s="18">
        <f>(F109)*1.6*2</f>
        <v>222.08000000000004</v>
      </c>
      <c r="G95" s="16">
        <v>1</v>
      </c>
      <c r="H95" s="8"/>
      <c r="I95" s="8">
        <f t="shared" si="6"/>
        <v>0</v>
      </c>
    </row>
    <row r="96" spans="1:9" ht="30" x14ac:dyDescent="0.2">
      <c r="A96" s="24" t="s">
        <v>292</v>
      </c>
      <c r="B96" s="25" t="s">
        <v>61</v>
      </c>
      <c r="C96" s="25" t="s">
        <v>63</v>
      </c>
      <c r="D96" s="26" t="s">
        <v>62</v>
      </c>
      <c r="E96" s="27">
        <v>10</v>
      </c>
      <c r="F96" s="30">
        <v>6</v>
      </c>
      <c r="G96" s="16">
        <v>1</v>
      </c>
      <c r="H96" s="8"/>
      <c r="I96" s="8">
        <f t="shared" si="6"/>
        <v>0</v>
      </c>
    </row>
    <row r="97" spans="1:9" ht="30" x14ac:dyDescent="0.2">
      <c r="A97" s="24" t="s">
        <v>293</v>
      </c>
      <c r="B97" s="25" t="s">
        <v>64</v>
      </c>
      <c r="C97" s="25" t="s">
        <v>65</v>
      </c>
      <c r="D97" s="26" t="s">
        <v>62</v>
      </c>
      <c r="E97" s="27">
        <v>10</v>
      </c>
      <c r="F97" s="30">
        <v>6</v>
      </c>
      <c r="G97" s="16">
        <v>1</v>
      </c>
      <c r="H97" s="8"/>
      <c r="I97" s="8">
        <f t="shared" si="6"/>
        <v>0</v>
      </c>
    </row>
    <row r="98" spans="1:9" ht="45" x14ac:dyDescent="0.2">
      <c r="A98" s="24" t="s">
        <v>294</v>
      </c>
      <c r="B98" s="25" t="s">
        <v>66</v>
      </c>
      <c r="C98" s="25" t="s">
        <v>67</v>
      </c>
      <c r="D98" s="26" t="s">
        <v>62</v>
      </c>
      <c r="E98" s="27">
        <v>35</v>
      </c>
      <c r="F98" s="30">
        <v>5</v>
      </c>
      <c r="G98" s="16">
        <v>1</v>
      </c>
      <c r="H98" s="8"/>
      <c r="I98" s="8">
        <f t="shared" si="6"/>
        <v>0</v>
      </c>
    </row>
    <row r="99" spans="1:9" ht="45" x14ac:dyDescent="0.2">
      <c r="A99" s="24" t="s">
        <v>295</v>
      </c>
      <c r="B99" s="25" t="s">
        <v>68</v>
      </c>
      <c r="C99" s="25" t="s">
        <v>69</v>
      </c>
      <c r="D99" s="26" t="s">
        <v>62</v>
      </c>
      <c r="E99" s="27">
        <v>35</v>
      </c>
      <c r="F99" s="30">
        <f>F98</f>
        <v>5</v>
      </c>
      <c r="G99" s="16">
        <v>1</v>
      </c>
      <c r="H99" s="8"/>
      <c r="I99" s="8">
        <f t="shared" si="6"/>
        <v>0</v>
      </c>
    </row>
    <row r="100" spans="1:9" ht="30" x14ac:dyDescent="0.2">
      <c r="A100" s="24" t="s">
        <v>296</v>
      </c>
      <c r="B100" s="25" t="s">
        <v>70</v>
      </c>
      <c r="C100" s="25" t="s">
        <v>161</v>
      </c>
      <c r="D100" s="26" t="s">
        <v>13</v>
      </c>
      <c r="E100" s="27">
        <v>70</v>
      </c>
      <c r="F100" s="18">
        <f>6*2</f>
        <v>12</v>
      </c>
      <c r="G100" s="16">
        <v>1</v>
      </c>
      <c r="H100" s="8"/>
      <c r="I100" s="8">
        <f t="shared" si="6"/>
        <v>0</v>
      </c>
    </row>
    <row r="101" spans="1:9" ht="15" x14ac:dyDescent="0.25">
      <c r="A101" s="14" t="s">
        <v>297</v>
      </c>
      <c r="B101" s="15" t="s">
        <v>10</v>
      </c>
      <c r="C101" s="15" t="s">
        <v>47</v>
      </c>
      <c r="D101" s="16"/>
      <c r="E101" s="17"/>
      <c r="F101" s="18"/>
      <c r="G101" s="16"/>
      <c r="H101" s="8"/>
      <c r="I101" s="7">
        <f>SUM(I102:I107)</f>
        <v>0</v>
      </c>
    </row>
    <row r="102" spans="1:9" ht="30" x14ac:dyDescent="0.2">
      <c r="A102" s="24" t="s">
        <v>298</v>
      </c>
      <c r="B102" s="25" t="s">
        <v>48</v>
      </c>
      <c r="C102" s="25" t="s">
        <v>354</v>
      </c>
      <c r="D102" s="26" t="s">
        <v>25</v>
      </c>
      <c r="E102" s="27">
        <v>159.30000000000001</v>
      </c>
      <c r="F102" s="18">
        <f>(F109)*0.9*0.6-3.14*0.0375^2*F109</f>
        <v>37.169555625000008</v>
      </c>
      <c r="G102" s="16">
        <v>1</v>
      </c>
      <c r="H102" s="8"/>
      <c r="I102" s="8">
        <f t="shared" ref="I102:I107" si="7">ROUND(F102*G102*H102,2)</f>
        <v>0</v>
      </c>
    </row>
    <row r="103" spans="1:9" ht="45" x14ac:dyDescent="0.2">
      <c r="A103" s="24" t="s">
        <v>299</v>
      </c>
      <c r="B103" s="25" t="s">
        <v>50</v>
      </c>
      <c r="C103" s="25" t="s">
        <v>51</v>
      </c>
      <c r="D103" s="26" t="s">
        <v>25</v>
      </c>
      <c r="E103" s="27">
        <v>159.30000000000001</v>
      </c>
      <c r="F103" s="18">
        <f>F102</f>
        <v>37.169555625000008</v>
      </c>
      <c r="G103" s="16">
        <v>1</v>
      </c>
      <c r="H103" s="8"/>
      <c r="I103" s="8">
        <f t="shared" si="7"/>
        <v>0</v>
      </c>
    </row>
    <row r="104" spans="1:9" ht="45" x14ac:dyDescent="0.2">
      <c r="A104" s="24" t="s">
        <v>300</v>
      </c>
      <c r="B104" s="25" t="s">
        <v>163</v>
      </c>
      <c r="C104" s="25" t="s">
        <v>164</v>
      </c>
      <c r="D104" s="26" t="s">
        <v>25</v>
      </c>
      <c r="E104" s="27">
        <v>253.8</v>
      </c>
      <c r="F104" s="18">
        <f>F93+F94</f>
        <v>72.366444375000015</v>
      </c>
      <c r="G104" s="16">
        <v>1</v>
      </c>
      <c r="H104" s="8"/>
      <c r="I104" s="8">
        <f t="shared" si="7"/>
        <v>0</v>
      </c>
    </row>
    <row r="105" spans="1:9" ht="30" x14ac:dyDescent="0.2">
      <c r="A105" s="24" t="s">
        <v>301</v>
      </c>
      <c r="B105" s="25" t="s">
        <v>52</v>
      </c>
      <c r="C105" s="25" t="s">
        <v>53</v>
      </c>
      <c r="D105" s="26" t="s">
        <v>25</v>
      </c>
      <c r="E105" s="27">
        <v>413.1</v>
      </c>
      <c r="F105" s="18">
        <f>F103+F104</f>
        <v>109.53600000000003</v>
      </c>
      <c r="G105" s="16">
        <v>1</v>
      </c>
      <c r="H105" s="8"/>
      <c r="I105" s="8">
        <f t="shared" si="7"/>
        <v>0</v>
      </c>
    </row>
    <row r="106" spans="1:9" ht="30" x14ac:dyDescent="0.2">
      <c r="A106" s="24" t="s">
        <v>302</v>
      </c>
      <c r="B106" s="25" t="s">
        <v>56</v>
      </c>
      <c r="C106" s="25" t="s">
        <v>57</v>
      </c>
      <c r="D106" s="26" t="s">
        <v>15</v>
      </c>
      <c r="E106" s="27">
        <v>484.8</v>
      </c>
      <c r="F106" s="18">
        <f>(26.1+0.5*77.2)*2</f>
        <v>129.4</v>
      </c>
      <c r="G106" s="16">
        <v>1</v>
      </c>
      <c r="H106" s="8"/>
      <c r="I106" s="8">
        <f t="shared" si="7"/>
        <v>0</v>
      </c>
    </row>
    <row r="107" spans="1:9" ht="45" x14ac:dyDescent="0.2">
      <c r="A107" s="24" t="s">
        <v>303</v>
      </c>
      <c r="B107" s="25" t="s">
        <v>58</v>
      </c>
      <c r="C107" s="25" t="s">
        <v>60</v>
      </c>
      <c r="D107" s="26" t="s">
        <v>59</v>
      </c>
      <c r="E107" s="27">
        <v>4.8000000000000001E-2</v>
      </c>
      <c r="F107" s="18">
        <f>F106/1000</f>
        <v>0.12940000000000002</v>
      </c>
      <c r="G107" s="16">
        <v>1</v>
      </c>
      <c r="H107" s="8"/>
      <c r="I107" s="8">
        <f t="shared" si="7"/>
        <v>0</v>
      </c>
    </row>
    <row r="108" spans="1:9" ht="15" x14ac:dyDescent="0.25">
      <c r="A108" s="14" t="s">
        <v>304</v>
      </c>
      <c r="B108" s="15" t="s">
        <v>10</v>
      </c>
      <c r="C108" s="15" t="s">
        <v>219</v>
      </c>
      <c r="D108" s="16"/>
      <c r="E108" s="17"/>
      <c r="F108" s="18"/>
      <c r="G108" s="16"/>
      <c r="H108" s="8"/>
      <c r="I108" s="7">
        <f>SUM(I109:I120)</f>
        <v>0</v>
      </c>
    </row>
    <row r="109" spans="1:9" ht="45" x14ac:dyDescent="0.2">
      <c r="A109" s="24" t="s">
        <v>305</v>
      </c>
      <c r="B109" s="25" t="s">
        <v>166</v>
      </c>
      <c r="C109" s="25" t="s">
        <v>167</v>
      </c>
      <c r="D109" s="26" t="s">
        <v>13</v>
      </c>
      <c r="E109" s="27">
        <v>295</v>
      </c>
      <c r="F109" s="18">
        <f>33.6+35.8</f>
        <v>69.400000000000006</v>
      </c>
      <c r="G109" s="16">
        <v>1</v>
      </c>
      <c r="H109" s="8"/>
      <c r="I109" s="8">
        <f t="shared" ref="I109:I120" si="8">ROUND(F109*G109*H109,2)</f>
        <v>0</v>
      </c>
    </row>
    <row r="110" spans="1:9" ht="45" x14ac:dyDescent="0.2">
      <c r="A110" s="24" t="s">
        <v>306</v>
      </c>
      <c r="B110" s="25" t="s">
        <v>168</v>
      </c>
      <c r="C110" s="25" t="s">
        <v>169</v>
      </c>
      <c r="D110" s="26" t="s">
        <v>13</v>
      </c>
      <c r="E110" s="27">
        <v>90</v>
      </c>
      <c r="F110" s="18">
        <f>4*5</f>
        <v>20</v>
      </c>
      <c r="G110" s="16">
        <v>1</v>
      </c>
      <c r="H110" s="8"/>
      <c r="I110" s="8">
        <f t="shared" si="8"/>
        <v>0</v>
      </c>
    </row>
    <row r="111" spans="1:9" ht="30" x14ac:dyDescent="0.2">
      <c r="A111" s="24" t="s">
        <v>307</v>
      </c>
      <c r="B111" s="25" t="s">
        <v>96</v>
      </c>
      <c r="C111" s="25" t="s">
        <v>355</v>
      </c>
      <c r="D111" s="26" t="s">
        <v>76</v>
      </c>
      <c r="E111" s="27">
        <v>12</v>
      </c>
      <c r="F111" s="18">
        <v>4</v>
      </c>
      <c r="G111" s="16">
        <v>1</v>
      </c>
      <c r="H111" s="8"/>
      <c r="I111" s="8">
        <f t="shared" si="8"/>
        <v>0</v>
      </c>
    </row>
    <row r="112" spans="1:9" ht="45" x14ac:dyDescent="0.2">
      <c r="A112" s="24" t="s">
        <v>308</v>
      </c>
      <c r="B112" s="25" t="s">
        <v>170</v>
      </c>
      <c r="C112" s="25" t="s">
        <v>171</v>
      </c>
      <c r="D112" s="26" t="s">
        <v>101</v>
      </c>
      <c r="E112" s="27">
        <v>89</v>
      </c>
      <c r="F112" s="30">
        <v>18</v>
      </c>
      <c r="G112" s="16">
        <v>1</v>
      </c>
      <c r="H112" s="8"/>
      <c r="I112" s="8">
        <f t="shared" si="8"/>
        <v>0</v>
      </c>
    </row>
    <row r="113" spans="1:9" ht="45" x14ac:dyDescent="0.2">
      <c r="A113" s="24" t="s">
        <v>309</v>
      </c>
      <c r="B113" s="25" t="s">
        <v>172</v>
      </c>
      <c r="C113" s="25" t="s">
        <v>173</v>
      </c>
      <c r="D113" s="26" t="s">
        <v>76</v>
      </c>
      <c r="E113" s="27">
        <v>16</v>
      </c>
      <c r="F113" s="30">
        <v>4</v>
      </c>
      <c r="G113" s="16">
        <v>1</v>
      </c>
      <c r="H113" s="8"/>
      <c r="I113" s="8">
        <f t="shared" si="8"/>
        <v>0</v>
      </c>
    </row>
    <row r="114" spans="1:9" ht="30" x14ac:dyDescent="0.2">
      <c r="A114" s="24" t="s">
        <v>310</v>
      </c>
      <c r="B114" s="25" t="s">
        <v>83</v>
      </c>
      <c r="C114" s="25" t="s">
        <v>174</v>
      </c>
      <c r="D114" s="26" t="s">
        <v>62</v>
      </c>
      <c r="E114" s="27">
        <v>16</v>
      </c>
      <c r="F114" s="30">
        <v>4</v>
      </c>
      <c r="G114" s="16">
        <v>1</v>
      </c>
      <c r="H114" s="8"/>
      <c r="I114" s="8">
        <f t="shared" si="8"/>
        <v>0</v>
      </c>
    </row>
    <row r="115" spans="1:9" ht="45" x14ac:dyDescent="0.2">
      <c r="A115" s="24" t="s">
        <v>311</v>
      </c>
      <c r="B115" s="25" t="s">
        <v>175</v>
      </c>
      <c r="C115" s="25" t="s">
        <v>176</v>
      </c>
      <c r="D115" s="26" t="s">
        <v>76</v>
      </c>
      <c r="E115" s="27">
        <v>16</v>
      </c>
      <c r="F115" s="30">
        <v>4</v>
      </c>
      <c r="G115" s="16">
        <v>1</v>
      </c>
      <c r="H115" s="8"/>
      <c r="I115" s="8">
        <f t="shared" si="8"/>
        <v>0</v>
      </c>
    </row>
    <row r="116" spans="1:9" ht="30" x14ac:dyDescent="0.2">
      <c r="A116" s="24" t="s">
        <v>312</v>
      </c>
      <c r="B116" s="25" t="s">
        <v>177</v>
      </c>
      <c r="C116" s="25" t="s">
        <v>178</v>
      </c>
      <c r="D116" s="26" t="s">
        <v>76</v>
      </c>
      <c r="E116" s="27">
        <v>16</v>
      </c>
      <c r="F116" s="30">
        <f>16*0.3</f>
        <v>4.8</v>
      </c>
      <c r="G116" s="16">
        <v>1</v>
      </c>
      <c r="H116" s="8"/>
      <c r="I116" s="8">
        <f t="shared" si="8"/>
        <v>0</v>
      </c>
    </row>
    <row r="117" spans="1:9" ht="30" x14ac:dyDescent="0.2">
      <c r="A117" s="24" t="s">
        <v>313</v>
      </c>
      <c r="B117" s="25" t="s">
        <v>117</v>
      </c>
      <c r="C117" s="25" t="s">
        <v>118</v>
      </c>
      <c r="D117" s="26" t="s">
        <v>62</v>
      </c>
      <c r="E117" s="27">
        <v>16</v>
      </c>
      <c r="F117" s="30">
        <v>5</v>
      </c>
      <c r="G117" s="16">
        <v>1</v>
      </c>
      <c r="H117" s="8"/>
      <c r="I117" s="8">
        <f t="shared" si="8"/>
        <v>0</v>
      </c>
    </row>
    <row r="118" spans="1:9" ht="30" x14ac:dyDescent="0.2">
      <c r="A118" s="24" t="s">
        <v>314</v>
      </c>
      <c r="B118" s="25" t="s">
        <v>119</v>
      </c>
      <c r="C118" s="25" t="s">
        <v>121</v>
      </c>
      <c r="D118" s="26" t="s">
        <v>120</v>
      </c>
      <c r="E118" s="27">
        <v>2</v>
      </c>
      <c r="F118" s="18">
        <f>(F109)/200</f>
        <v>0.34700000000000003</v>
      </c>
      <c r="G118" s="16">
        <v>1</v>
      </c>
      <c r="H118" s="8"/>
      <c r="I118" s="8">
        <f t="shared" si="8"/>
        <v>0</v>
      </c>
    </row>
    <row r="119" spans="1:9" ht="30" x14ac:dyDescent="0.2">
      <c r="A119" s="24" t="s">
        <v>315</v>
      </c>
      <c r="B119" s="25" t="s">
        <v>122</v>
      </c>
      <c r="C119" s="25" t="s">
        <v>123</v>
      </c>
      <c r="D119" s="26" t="s">
        <v>120</v>
      </c>
      <c r="E119" s="27">
        <v>2</v>
      </c>
      <c r="F119" s="18">
        <f>F118</f>
        <v>0.34700000000000003</v>
      </c>
      <c r="G119" s="16">
        <v>1</v>
      </c>
      <c r="H119" s="8"/>
      <c r="I119" s="8">
        <f t="shared" si="8"/>
        <v>0</v>
      </c>
    </row>
    <row r="120" spans="1:9" ht="30" x14ac:dyDescent="0.2">
      <c r="A120" s="24" t="s">
        <v>316</v>
      </c>
      <c r="B120" s="25" t="s">
        <v>179</v>
      </c>
      <c r="C120" s="25" t="s">
        <v>180</v>
      </c>
      <c r="D120" s="26" t="s">
        <v>125</v>
      </c>
      <c r="E120" s="27">
        <v>1.5</v>
      </c>
      <c r="F120" s="18">
        <f>F119</f>
        <v>0.34700000000000003</v>
      </c>
      <c r="G120" s="16">
        <v>1</v>
      </c>
      <c r="H120" s="8"/>
      <c r="I120" s="8">
        <f t="shared" si="8"/>
        <v>0</v>
      </c>
    </row>
    <row r="121" spans="1:9" ht="15" x14ac:dyDescent="0.25">
      <c r="A121" s="14" t="s">
        <v>317</v>
      </c>
      <c r="B121" s="15" t="s">
        <v>10</v>
      </c>
      <c r="C121" s="15" t="s">
        <v>326</v>
      </c>
      <c r="D121" s="16"/>
      <c r="E121" s="17"/>
      <c r="F121" s="18"/>
      <c r="G121" s="16"/>
      <c r="H121" s="8"/>
      <c r="I121" s="7">
        <f>SUM(I122:I126)</f>
        <v>0</v>
      </c>
    </row>
    <row r="122" spans="1:9" ht="30" x14ac:dyDescent="0.2">
      <c r="A122" s="24" t="s">
        <v>318</v>
      </c>
      <c r="B122" s="25" t="s">
        <v>131</v>
      </c>
      <c r="C122" s="25" t="s">
        <v>182</v>
      </c>
      <c r="D122" s="26" t="s">
        <v>15</v>
      </c>
      <c r="E122" s="27">
        <v>78.3</v>
      </c>
      <c r="F122" s="18">
        <f>2*2.5*4</f>
        <v>20</v>
      </c>
      <c r="G122" s="16">
        <v>2</v>
      </c>
      <c r="H122" s="8"/>
      <c r="I122" s="8">
        <f>ROUND(F122*G122*H122,2)</f>
        <v>0</v>
      </c>
    </row>
    <row r="123" spans="1:9" ht="30" x14ac:dyDescent="0.2">
      <c r="A123" s="24" t="s">
        <v>319</v>
      </c>
      <c r="B123" s="25" t="s">
        <v>133</v>
      </c>
      <c r="C123" s="25" t="s">
        <v>134</v>
      </c>
      <c r="D123" s="26" t="s">
        <v>15</v>
      </c>
      <c r="E123" s="27">
        <v>78.3</v>
      </c>
      <c r="F123" s="18">
        <f>F122</f>
        <v>20</v>
      </c>
      <c r="G123" s="16">
        <v>1</v>
      </c>
      <c r="H123" s="8"/>
      <c r="I123" s="8">
        <f>ROUND(F123*G123*H123,2)</f>
        <v>0</v>
      </c>
    </row>
    <row r="124" spans="1:9" ht="45" x14ac:dyDescent="0.2">
      <c r="A124" s="24" t="s">
        <v>320</v>
      </c>
      <c r="B124" s="25" t="s">
        <v>143</v>
      </c>
      <c r="C124" s="25" t="s">
        <v>144</v>
      </c>
      <c r="D124" s="26" t="s">
        <v>15</v>
      </c>
      <c r="E124" s="27">
        <v>78.3</v>
      </c>
      <c r="F124" s="18">
        <f>F122</f>
        <v>20</v>
      </c>
      <c r="G124" s="16">
        <v>1</v>
      </c>
      <c r="H124" s="8"/>
      <c r="I124" s="8">
        <f>ROUND(F124*G124*H124,2)</f>
        <v>0</v>
      </c>
    </row>
    <row r="125" spans="1:9" ht="30" x14ac:dyDescent="0.2">
      <c r="A125" s="24" t="s">
        <v>321</v>
      </c>
      <c r="B125" s="25" t="s">
        <v>147</v>
      </c>
      <c r="C125" s="25" t="s">
        <v>148</v>
      </c>
      <c r="D125" s="26" t="s">
        <v>13</v>
      </c>
      <c r="E125" s="27">
        <v>15</v>
      </c>
      <c r="F125" s="18">
        <f>2</f>
        <v>2</v>
      </c>
      <c r="G125" s="16">
        <v>1</v>
      </c>
      <c r="H125" s="8"/>
      <c r="I125" s="8">
        <f>ROUND(F125*G125*H125,2)</f>
        <v>0</v>
      </c>
    </row>
    <row r="126" spans="1:9" ht="30" x14ac:dyDescent="0.2">
      <c r="A126" s="24" t="s">
        <v>322</v>
      </c>
      <c r="B126" s="25" t="s">
        <v>149</v>
      </c>
      <c r="C126" s="25" t="s">
        <v>150</v>
      </c>
      <c r="D126" s="26" t="s">
        <v>13</v>
      </c>
      <c r="E126" s="27">
        <v>85</v>
      </c>
      <c r="F126" s="18">
        <f>2*4</f>
        <v>8</v>
      </c>
      <c r="G126" s="16">
        <v>1</v>
      </c>
      <c r="H126" s="8"/>
      <c r="I126" s="8">
        <f>ROUND(F126*G126*H126,2)</f>
        <v>0</v>
      </c>
    </row>
    <row r="127" spans="1:9" ht="15" x14ac:dyDescent="0.25">
      <c r="A127" s="19" t="s">
        <v>183</v>
      </c>
      <c r="B127" s="15" t="s">
        <v>323</v>
      </c>
      <c r="C127" s="15" t="s">
        <v>324</v>
      </c>
      <c r="D127" s="33" t="s">
        <v>0</v>
      </c>
      <c r="E127" s="34" t="s">
        <v>0</v>
      </c>
      <c r="F127" s="35"/>
      <c r="G127" s="33" t="s">
        <v>0</v>
      </c>
      <c r="H127" s="11"/>
      <c r="I127" s="11">
        <f>I128</f>
        <v>0</v>
      </c>
    </row>
    <row r="128" spans="1:9" ht="15" x14ac:dyDescent="0.25">
      <c r="A128" s="14" t="s">
        <v>184</v>
      </c>
      <c r="B128" s="15" t="s">
        <v>10</v>
      </c>
      <c r="C128" s="15" t="s">
        <v>185</v>
      </c>
      <c r="D128" s="16"/>
      <c r="E128" s="17"/>
      <c r="F128" s="18"/>
      <c r="G128" s="16"/>
      <c r="H128" s="8"/>
      <c r="I128" s="8">
        <f>SUM(I129:I134)</f>
        <v>0</v>
      </c>
    </row>
    <row r="129" spans="1:9" ht="30" x14ac:dyDescent="0.2">
      <c r="A129" s="24" t="s">
        <v>186</v>
      </c>
      <c r="B129" s="25" t="s">
        <v>99</v>
      </c>
      <c r="C129" s="25" t="s">
        <v>187</v>
      </c>
      <c r="D129" s="26" t="s">
        <v>76</v>
      </c>
      <c r="E129" s="27">
        <v>2</v>
      </c>
      <c r="F129" s="30">
        <v>2</v>
      </c>
      <c r="G129" s="16">
        <v>1</v>
      </c>
      <c r="H129" s="8"/>
      <c r="I129" s="8">
        <f t="shared" ref="I129:I134" si="9">ROUND(F129*G129*H129,2)</f>
        <v>0</v>
      </c>
    </row>
    <row r="130" spans="1:9" ht="30" x14ac:dyDescent="0.2">
      <c r="A130" s="24" t="s">
        <v>188</v>
      </c>
      <c r="B130" s="25" t="s">
        <v>94</v>
      </c>
      <c r="C130" s="25" t="s">
        <v>189</v>
      </c>
      <c r="D130" s="26" t="s">
        <v>76</v>
      </c>
      <c r="E130" s="27">
        <v>1</v>
      </c>
      <c r="F130" s="30">
        <v>1</v>
      </c>
      <c r="G130" s="16">
        <v>1</v>
      </c>
      <c r="H130" s="8"/>
      <c r="I130" s="8">
        <f t="shared" si="9"/>
        <v>0</v>
      </c>
    </row>
    <row r="131" spans="1:9" ht="45" x14ac:dyDescent="0.2">
      <c r="A131" s="24" t="s">
        <v>190</v>
      </c>
      <c r="B131" s="25" t="s">
        <v>95</v>
      </c>
      <c r="C131" s="25" t="s">
        <v>191</v>
      </c>
      <c r="D131" s="26" t="s">
        <v>76</v>
      </c>
      <c r="E131" s="27">
        <v>1</v>
      </c>
      <c r="F131" s="30">
        <v>1</v>
      </c>
      <c r="G131" s="16">
        <v>1</v>
      </c>
      <c r="H131" s="8"/>
      <c r="I131" s="8">
        <f t="shared" si="9"/>
        <v>0</v>
      </c>
    </row>
    <row r="132" spans="1:9" ht="30" x14ac:dyDescent="0.2">
      <c r="A132" s="24" t="s">
        <v>192</v>
      </c>
      <c r="B132" s="25" t="s">
        <v>78</v>
      </c>
      <c r="C132" s="25" t="s">
        <v>194</v>
      </c>
      <c r="D132" s="26" t="s">
        <v>193</v>
      </c>
      <c r="E132" s="27">
        <v>1</v>
      </c>
      <c r="F132" s="30">
        <v>1</v>
      </c>
      <c r="G132" s="16">
        <v>1</v>
      </c>
      <c r="H132" s="8"/>
      <c r="I132" s="8">
        <f t="shared" si="9"/>
        <v>0</v>
      </c>
    </row>
    <row r="133" spans="1:9" ht="45" x14ac:dyDescent="0.2">
      <c r="A133" s="24" t="s">
        <v>195</v>
      </c>
      <c r="B133" s="25" t="s">
        <v>175</v>
      </c>
      <c r="C133" s="25" t="s">
        <v>176</v>
      </c>
      <c r="D133" s="26" t="s">
        <v>76</v>
      </c>
      <c r="E133" s="27">
        <v>2</v>
      </c>
      <c r="F133" s="30">
        <v>2</v>
      </c>
      <c r="G133" s="16">
        <v>1</v>
      </c>
      <c r="H133" s="8"/>
      <c r="I133" s="8">
        <f t="shared" si="9"/>
        <v>0</v>
      </c>
    </row>
    <row r="134" spans="1:9" ht="30" x14ac:dyDescent="0.2">
      <c r="A134" s="24" t="s">
        <v>196</v>
      </c>
      <c r="B134" s="25" t="s">
        <v>177</v>
      </c>
      <c r="C134" s="25" t="s">
        <v>178</v>
      </c>
      <c r="D134" s="26" t="s">
        <v>76</v>
      </c>
      <c r="E134" s="27">
        <v>2</v>
      </c>
      <c r="F134" s="30">
        <v>2</v>
      </c>
      <c r="G134" s="16">
        <v>1</v>
      </c>
      <c r="H134" s="8"/>
      <c r="I134" s="8">
        <f t="shared" si="9"/>
        <v>0</v>
      </c>
    </row>
    <row r="135" spans="1:9" ht="15" x14ac:dyDescent="0.25">
      <c r="A135" s="19" t="s">
        <v>197</v>
      </c>
      <c r="B135" s="20" t="s">
        <v>7</v>
      </c>
      <c r="C135" s="20" t="s">
        <v>327</v>
      </c>
      <c r="D135" s="21"/>
      <c r="E135" s="22"/>
      <c r="F135" s="23"/>
      <c r="G135" s="21"/>
      <c r="H135" s="7"/>
      <c r="I135" s="7">
        <f>I136</f>
        <v>0</v>
      </c>
    </row>
    <row r="136" spans="1:9" s="6" customFormat="1" ht="15" x14ac:dyDescent="0.25">
      <c r="A136" s="19" t="s">
        <v>198</v>
      </c>
      <c r="B136" s="20" t="s">
        <v>10</v>
      </c>
      <c r="C136" s="20" t="s">
        <v>325</v>
      </c>
      <c r="D136" s="21" t="s">
        <v>0</v>
      </c>
      <c r="E136" s="22">
        <v>1</v>
      </c>
      <c r="F136" s="36">
        <v>1</v>
      </c>
      <c r="G136" s="21">
        <v>1</v>
      </c>
      <c r="H136" s="7"/>
      <c r="I136" s="7">
        <f>ROUND(F136*G136*H136,2)</f>
        <v>0</v>
      </c>
    </row>
    <row r="137" spans="1:9" ht="30" x14ac:dyDescent="0.2">
      <c r="A137" s="24" t="s">
        <v>199</v>
      </c>
      <c r="B137" s="25" t="s">
        <v>78</v>
      </c>
      <c r="C137" s="25" t="s">
        <v>200</v>
      </c>
      <c r="D137" s="26" t="s">
        <v>193</v>
      </c>
      <c r="E137" s="27">
        <v>1</v>
      </c>
      <c r="F137" s="30">
        <v>1</v>
      </c>
      <c r="G137" s="16">
        <v>1</v>
      </c>
      <c r="H137" s="8"/>
      <c r="I137" s="8">
        <f>ROUND(F137*G137*H137,2)</f>
        <v>0</v>
      </c>
    </row>
    <row r="138" spans="1:9" ht="30" x14ac:dyDescent="0.2">
      <c r="A138" s="24" t="s">
        <v>201</v>
      </c>
      <c r="B138" s="25" t="s">
        <v>78</v>
      </c>
      <c r="C138" s="25" t="s">
        <v>202</v>
      </c>
      <c r="D138" s="26" t="s">
        <v>193</v>
      </c>
      <c r="E138" s="27">
        <v>1</v>
      </c>
      <c r="F138" s="30">
        <v>1</v>
      </c>
      <c r="G138" s="16">
        <v>1</v>
      </c>
      <c r="H138" s="8"/>
      <c r="I138" s="8">
        <f>ROUND(F138*G138*H138,2)</f>
        <v>0</v>
      </c>
    </row>
    <row r="139" spans="1:9" ht="30" x14ac:dyDescent="0.2">
      <c r="A139" s="24" t="s">
        <v>203</v>
      </c>
      <c r="B139" s="25" t="s">
        <v>78</v>
      </c>
      <c r="C139" s="25" t="s">
        <v>204</v>
      </c>
      <c r="D139" s="26" t="s">
        <v>193</v>
      </c>
      <c r="E139" s="27">
        <v>1</v>
      </c>
      <c r="F139" s="30">
        <v>1</v>
      </c>
      <c r="G139" s="16">
        <v>1</v>
      </c>
      <c r="H139" s="8"/>
      <c r="I139" s="8">
        <f>ROUND(F139*G139*H139,2)</f>
        <v>0</v>
      </c>
    </row>
    <row r="140" spans="1:9" ht="15" customHeight="1" x14ac:dyDescent="0.2">
      <c r="A140" s="83" t="s">
        <v>330</v>
      </c>
      <c r="B140" s="83"/>
      <c r="C140" s="83"/>
      <c r="D140" s="83"/>
      <c r="E140" s="83"/>
      <c r="F140" s="83"/>
      <c r="G140" s="83"/>
      <c r="H140" s="83"/>
      <c r="I140" s="9">
        <f>I135+I127+I81+I5</f>
        <v>0</v>
      </c>
    </row>
    <row r="141" spans="1:9" ht="12.75" customHeight="1" x14ac:dyDescent="0.2">
      <c r="A141" s="83" t="s">
        <v>331</v>
      </c>
      <c r="B141" s="83"/>
      <c r="C141" s="83"/>
      <c r="D141" s="83"/>
      <c r="E141" s="83"/>
      <c r="F141" s="83"/>
      <c r="G141" s="83"/>
      <c r="H141" s="83"/>
      <c r="I141" s="9">
        <f>ROUND(I140*23%,2)</f>
        <v>0</v>
      </c>
    </row>
    <row r="142" spans="1:9" ht="12.75" customHeight="1" x14ac:dyDescent="0.2">
      <c r="A142" s="83" t="s">
        <v>332</v>
      </c>
      <c r="B142" s="83"/>
      <c r="C142" s="83"/>
      <c r="D142" s="83"/>
      <c r="E142" s="83"/>
      <c r="F142" s="83"/>
      <c r="G142" s="83"/>
      <c r="H142" s="83"/>
      <c r="I142" s="9">
        <f>I140+I141</f>
        <v>0</v>
      </c>
    </row>
  </sheetData>
  <mergeCells count="5">
    <mergeCell ref="A140:H140"/>
    <mergeCell ref="A141:H141"/>
    <mergeCell ref="A142:H142"/>
    <mergeCell ref="A2:I3"/>
    <mergeCell ref="A1:I1"/>
  </mergeCells>
  <phoneticPr fontId="12" type="noConversion"/>
  <pageMargins left="0.7" right="0.7" top="0.75" bottom="0.75" header="0.5" footer="0.5"/>
  <pageSetup paperSize="9" scale="77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53DF-0902-4D65-B1E0-5B065988953F}">
  <sheetPr>
    <tabColor theme="3" tint="0.59999389629810485"/>
    <pageSetUpPr fitToPage="1"/>
  </sheetPr>
  <dimension ref="A1:Y270"/>
  <sheetViews>
    <sheetView tabSelected="1" topLeftCell="A199" zoomScaleNormal="100" workbookViewId="0">
      <selection activeCell="C216" sqref="C216"/>
    </sheetView>
  </sheetViews>
  <sheetFormatPr defaultRowHeight="12.75" x14ac:dyDescent="0.2"/>
  <cols>
    <col min="1" max="1" width="6.140625" style="2" bestFit="1" customWidth="1"/>
    <col min="2" max="2" width="17" style="81" customWidth="1"/>
    <col min="3" max="3" width="54.42578125" style="2" customWidth="1"/>
    <col min="4" max="4" width="8" style="37" customWidth="1"/>
    <col min="5" max="5" width="9.42578125" style="52" customWidth="1"/>
    <col min="6" max="6" width="10.85546875" style="38" hidden="1" customWidth="1"/>
    <col min="7" max="7" width="6.28515625" style="37" customWidth="1"/>
    <col min="8" max="8" width="8.85546875" style="37" customWidth="1"/>
    <col min="9" max="9" width="9.7109375" style="10" hidden="1" customWidth="1"/>
    <col min="10" max="10" width="11.28515625" style="10" bestFit="1" customWidth="1"/>
    <col min="11" max="11" width="12" style="10" hidden="1" customWidth="1"/>
    <col min="12" max="12" width="0.140625" style="2" hidden="1" customWidth="1"/>
    <col min="13" max="16" width="9.140625" style="2" hidden="1" customWidth="1"/>
    <col min="17" max="17" width="9.140625" style="2" customWidth="1"/>
    <col min="18" max="18" width="0" style="2" hidden="1" customWidth="1"/>
    <col min="19" max="19" width="9.42578125" style="2" hidden="1" customWidth="1"/>
    <col min="20" max="20" width="9.42578125" style="37" hidden="1" customWidth="1"/>
    <col min="21" max="26" width="0" style="2" hidden="1" customWidth="1"/>
    <col min="27" max="16384" width="9.140625" style="2"/>
  </cols>
  <sheetData>
    <row r="1" spans="1:20" s="1" customFormat="1" ht="24.75" customHeight="1" x14ac:dyDescent="0.2">
      <c r="A1" s="85" t="s">
        <v>466</v>
      </c>
      <c r="B1" s="85"/>
      <c r="C1" s="85"/>
      <c r="D1" s="85"/>
      <c r="E1" s="85"/>
      <c r="F1" s="85"/>
      <c r="G1" s="85"/>
      <c r="H1" s="85"/>
      <c r="I1" s="85"/>
      <c r="J1" s="85"/>
      <c r="K1" s="85"/>
      <c r="T1" s="50"/>
    </row>
    <row r="2" spans="1:20" s="1" customFormat="1" ht="12.75" customHeight="1" x14ac:dyDescent="0.2">
      <c r="A2" s="84" t="s">
        <v>449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T2" s="50"/>
    </row>
    <row r="3" spans="1:20" s="1" customFormat="1" ht="37.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T3" s="50"/>
    </row>
    <row r="4" spans="1:20" s="5" customFormat="1" ht="33.75" x14ac:dyDescent="0.2">
      <c r="A4" s="12" t="s">
        <v>339</v>
      </c>
      <c r="B4" s="76" t="s">
        <v>1</v>
      </c>
      <c r="C4" s="4" t="s">
        <v>2</v>
      </c>
      <c r="D4" s="4" t="s">
        <v>3</v>
      </c>
      <c r="E4" s="13" t="s">
        <v>4</v>
      </c>
      <c r="F4" s="13" t="s">
        <v>4</v>
      </c>
      <c r="G4" s="4" t="s">
        <v>5</v>
      </c>
      <c r="H4" s="65" t="s">
        <v>366</v>
      </c>
      <c r="I4" s="65" t="s">
        <v>366</v>
      </c>
      <c r="J4" s="65" t="s">
        <v>214</v>
      </c>
      <c r="K4" s="4" t="s">
        <v>214</v>
      </c>
    </row>
    <row r="5" spans="1:20" ht="15" x14ac:dyDescent="0.2">
      <c r="A5" s="14" t="s">
        <v>6</v>
      </c>
      <c r="B5" s="77" t="s">
        <v>7</v>
      </c>
      <c r="C5" s="15" t="s">
        <v>9</v>
      </c>
      <c r="D5" s="16"/>
      <c r="E5" s="55"/>
      <c r="F5" s="18"/>
      <c r="G5" s="16"/>
      <c r="H5" s="66"/>
      <c r="I5" s="67"/>
      <c r="J5" s="68">
        <f>J6+J26+J33+J45</f>
        <v>0</v>
      </c>
      <c r="K5" s="7">
        <f>K6+K26+K33+K45</f>
        <v>156715.76</v>
      </c>
    </row>
    <row r="6" spans="1:20" s="6" customFormat="1" ht="15" x14ac:dyDescent="0.2">
      <c r="A6" s="19" t="s">
        <v>8</v>
      </c>
      <c r="B6" s="78" t="s">
        <v>10</v>
      </c>
      <c r="C6" s="20" t="s">
        <v>378</v>
      </c>
      <c r="D6" s="21"/>
      <c r="E6" s="56"/>
      <c r="F6" s="23"/>
      <c r="G6" s="21"/>
      <c r="H6" s="69"/>
      <c r="I6" s="68"/>
      <c r="J6" s="68">
        <f>SUM(J7:J25)</f>
        <v>0</v>
      </c>
      <c r="K6" s="7">
        <f>SUM(K7:K25)</f>
        <v>21882.67</v>
      </c>
      <c r="T6" s="51"/>
    </row>
    <row r="7" spans="1:20" ht="30" x14ac:dyDescent="0.2">
      <c r="A7" s="24" t="s">
        <v>11</v>
      </c>
      <c r="B7" s="79" t="s">
        <v>12</v>
      </c>
      <c r="C7" s="25" t="s">
        <v>383</v>
      </c>
      <c r="D7" s="26" t="s">
        <v>13</v>
      </c>
      <c r="E7" s="18">
        <f>2*2+6</f>
        <v>10</v>
      </c>
      <c r="F7" s="18">
        <f>9+2+2+9+4+2</f>
        <v>28</v>
      </c>
      <c r="G7" s="16">
        <v>1</v>
      </c>
      <c r="H7" s="66"/>
      <c r="I7" s="67">
        <f>0.42857*8.12</f>
        <v>3.4799883999999999</v>
      </c>
      <c r="J7" s="67">
        <f t="shared" ref="J7:J25" si="0">ROUND(E7*H7,2)</f>
        <v>0</v>
      </c>
      <c r="K7" s="8">
        <f t="shared" ref="K7:K25" si="1">ROUND(F7*I7,2)</f>
        <v>97.44</v>
      </c>
    </row>
    <row r="8" spans="1:20" ht="30" x14ac:dyDescent="0.2">
      <c r="A8" s="24" t="s">
        <v>29</v>
      </c>
      <c r="B8" s="80" t="s">
        <v>206</v>
      </c>
      <c r="C8" s="28" t="s">
        <v>207</v>
      </c>
      <c r="D8" s="26" t="s">
        <v>13</v>
      </c>
      <c r="E8" s="18">
        <f>10*2+2.5*2</f>
        <v>25</v>
      </c>
      <c r="F8" s="18">
        <f>14*2+2*2*2+4*2</f>
        <v>44</v>
      </c>
      <c r="G8" s="16">
        <v>1</v>
      </c>
      <c r="H8" s="66"/>
      <c r="I8" s="67">
        <f>0.8636364*6.630789</f>
        <v>5.7265907411196002</v>
      </c>
      <c r="J8" s="67">
        <f t="shared" si="0"/>
        <v>0</v>
      </c>
      <c r="K8" s="8">
        <f t="shared" si="1"/>
        <v>251.97</v>
      </c>
    </row>
    <row r="9" spans="1:20" ht="30" x14ac:dyDescent="0.2">
      <c r="A9" s="24" t="s">
        <v>46</v>
      </c>
      <c r="B9" s="79" t="s">
        <v>359</v>
      </c>
      <c r="C9" s="25" t="s">
        <v>360</v>
      </c>
      <c r="D9" s="26" t="s">
        <v>15</v>
      </c>
      <c r="E9" s="18">
        <f>12*2.5</f>
        <v>30</v>
      </c>
      <c r="F9" s="18">
        <v>48</v>
      </c>
      <c r="G9" s="16">
        <v>5</v>
      </c>
      <c r="H9" s="66"/>
      <c r="I9" s="67">
        <f>45</f>
        <v>45</v>
      </c>
      <c r="J9" s="67">
        <f t="shared" si="0"/>
        <v>0</v>
      </c>
      <c r="K9" s="8">
        <f t="shared" si="1"/>
        <v>2160</v>
      </c>
    </row>
    <row r="10" spans="1:20" ht="30" x14ac:dyDescent="0.2">
      <c r="A10" s="24" t="s">
        <v>72</v>
      </c>
      <c r="B10" s="79" t="s">
        <v>357</v>
      </c>
      <c r="C10" s="25" t="s">
        <v>358</v>
      </c>
      <c r="D10" s="26" t="s">
        <v>15</v>
      </c>
      <c r="E10" s="18">
        <f>E9+E15+E13</f>
        <v>117.75</v>
      </c>
      <c r="F10" s="18">
        <f>F9+F15+F13</f>
        <v>142.10000000000002</v>
      </c>
      <c r="G10" s="16">
        <v>1</v>
      </c>
      <c r="H10" s="66"/>
      <c r="I10" s="67">
        <v>23.03</v>
      </c>
      <c r="J10" s="67">
        <f t="shared" si="0"/>
        <v>0</v>
      </c>
      <c r="K10" s="8">
        <f t="shared" si="1"/>
        <v>3272.56</v>
      </c>
    </row>
    <row r="11" spans="1:20" ht="30" x14ac:dyDescent="0.2">
      <c r="A11" s="24" t="s">
        <v>129</v>
      </c>
      <c r="B11" s="79" t="s">
        <v>133</v>
      </c>
      <c r="C11" s="25" t="s">
        <v>134</v>
      </c>
      <c r="D11" s="26" t="s">
        <v>15</v>
      </c>
      <c r="E11" s="18">
        <f>E10</f>
        <v>117.75</v>
      </c>
      <c r="F11" s="18">
        <f>F10</f>
        <v>142.10000000000002</v>
      </c>
      <c r="G11" s="16">
        <v>1</v>
      </c>
      <c r="H11" s="66"/>
      <c r="I11" s="67">
        <v>16.899999999999999</v>
      </c>
      <c r="J11" s="67">
        <f t="shared" si="0"/>
        <v>0</v>
      </c>
      <c r="K11" s="8">
        <f t="shared" si="1"/>
        <v>2401.4899999999998</v>
      </c>
    </row>
    <row r="12" spans="1:20" ht="30" x14ac:dyDescent="0.2">
      <c r="A12" s="24" t="s">
        <v>221</v>
      </c>
      <c r="B12" s="79" t="s">
        <v>135</v>
      </c>
      <c r="C12" s="25" t="s">
        <v>136</v>
      </c>
      <c r="D12" s="26" t="s">
        <v>15</v>
      </c>
      <c r="E12" s="18">
        <f>E10</f>
        <v>117.75</v>
      </c>
      <c r="F12" s="18">
        <f>F10</f>
        <v>142.10000000000002</v>
      </c>
      <c r="G12" s="16">
        <v>10</v>
      </c>
      <c r="H12" s="66"/>
      <c r="I12" s="67">
        <v>7.6</v>
      </c>
      <c r="J12" s="67">
        <f t="shared" si="0"/>
        <v>0</v>
      </c>
      <c r="K12" s="8">
        <f t="shared" si="1"/>
        <v>1079.96</v>
      </c>
    </row>
    <row r="13" spans="1:20" ht="45" x14ac:dyDescent="0.2">
      <c r="A13" s="24" t="s">
        <v>222</v>
      </c>
      <c r="B13" s="79" t="s">
        <v>361</v>
      </c>
      <c r="C13" s="25" t="s">
        <v>362</v>
      </c>
      <c r="D13" s="26" t="s">
        <v>15</v>
      </c>
      <c r="E13" s="18">
        <f>9.5*2.5+1.5*4+13*2</f>
        <v>55.75</v>
      </c>
      <c r="F13" s="18">
        <f>2.2*3.1+3.5*2.5+8.5*2.1</f>
        <v>33.42</v>
      </c>
      <c r="G13" s="16">
        <v>1</v>
      </c>
      <c r="H13" s="66"/>
      <c r="I13" s="67">
        <v>11.32</v>
      </c>
      <c r="J13" s="67">
        <f t="shared" si="0"/>
        <v>0</v>
      </c>
      <c r="K13" s="8">
        <f t="shared" si="1"/>
        <v>378.31</v>
      </c>
    </row>
    <row r="14" spans="1:20" ht="45" x14ac:dyDescent="0.2">
      <c r="A14" s="24" t="s">
        <v>336</v>
      </c>
      <c r="B14" s="79" t="s">
        <v>368</v>
      </c>
      <c r="C14" s="25" t="s">
        <v>369</v>
      </c>
      <c r="D14" s="26" t="s">
        <v>15</v>
      </c>
      <c r="E14" s="18">
        <f>E13</f>
        <v>55.75</v>
      </c>
      <c r="F14" s="18">
        <f>F13</f>
        <v>33.42</v>
      </c>
      <c r="G14" s="16">
        <v>1</v>
      </c>
      <c r="H14" s="66"/>
      <c r="I14" s="67">
        <v>14.88</v>
      </c>
      <c r="J14" s="67">
        <f t="shared" si="0"/>
        <v>0</v>
      </c>
      <c r="K14" s="8">
        <f t="shared" si="1"/>
        <v>497.29</v>
      </c>
    </row>
    <row r="15" spans="1:20" ht="30" x14ac:dyDescent="0.2">
      <c r="A15" s="24" t="s">
        <v>370</v>
      </c>
      <c r="B15" s="79" t="s">
        <v>20</v>
      </c>
      <c r="C15" s="25" t="s">
        <v>21</v>
      </c>
      <c r="D15" s="26" t="s">
        <v>15</v>
      </c>
      <c r="E15" s="18">
        <f>6*2+10*2</f>
        <v>32</v>
      </c>
      <c r="F15" s="18">
        <f>9*4+2.2*2.2*2+7.5*2</f>
        <v>60.68</v>
      </c>
      <c r="G15" s="16">
        <v>1</v>
      </c>
      <c r="H15" s="66"/>
      <c r="I15" s="67">
        <v>16.600000000000001</v>
      </c>
      <c r="J15" s="67">
        <f t="shared" si="0"/>
        <v>0</v>
      </c>
      <c r="K15" s="8">
        <f t="shared" si="1"/>
        <v>1007.29</v>
      </c>
    </row>
    <row r="16" spans="1:20" ht="45" customHeight="1" x14ac:dyDescent="0.2">
      <c r="A16" s="24" t="s">
        <v>373</v>
      </c>
      <c r="B16" s="79" t="s">
        <v>374</v>
      </c>
      <c r="C16" s="25" t="s">
        <v>375</v>
      </c>
      <c r="D16" s="26" t="s">
        <v>15</v>
      </c>
      <c r="E16" s="18">
        <f>E15</f>
        <v>32</v>
      </c>
      <c r="F16" s="18">
        <f>F15</f>
        <v>60.68</v>
      </c>
      <c r="G16" s="16">
        <v>1</v>
      </c>
      <c r="H16" s="66"/>
      <c r="I16" s="67">
        <v>38.049999999999997</v>
      </c>
      <c r="J16" s="67">
        <f t="shared" si="0"/>
        <v>0</v>
      </c>
      <c r="K16" s="8">
        <f t="shared" si="1"/>
        <v>2308.87</v>
      </c>
    </row>
    <row r="17" spans="1:24" ht="34.5" customHeight="1" x14ac:dyDescent="0.2">
      <c r="A17" s="24" t="s">
        <v>467</v>
      </c>
      <c r="B17" s="79" t="s">
        <v>137</v>
      </c>
      <c r="C17" s="25" t="s">
        <v>468</v>
      </c>
      <c r="D17" s="26" t="s">
        <v>15</v>
      </c>
      <c r="E17" s="18">
        <v>30</v>
      </c>
      <c r="F17" s="18"/>
      <c r="G17" s="16">
        <v>1</v>
      </c>
      <c r="H17" s="66"/>
      <c r="I17" s="67"/>
      <c r="J17" s="67">
        <f t="shared" si="0"/>
        <v>0</v>
      </c>
      <c r="K17" s="8"/>
    </row>
    <row r="18" spans="1:24" ht="45" customHeight="1" x14ac:dyDescent="0.2">
      <c r="A18" s="24" t="s">
        <v>376</v>
      </c>
      <c r="B18" s="79" t="s">
        <v>137</v>
      </c>
      <c r="C18" s="25" t="s">
        <v>138</v>
      </c>
      <c r="D18" s="26" t="s">
        <v>15</v>
      </c>
      <c r="E18" s="18">
        <f>E9</f>
        <v>30</v>
      </c>
      <c r="F18" s="18">
        <f>F9</f>
        <v>48</v>
      </c>
      <c r="G18" s="16">
        <v>2</v>
      </c>
      <c r="H18" s="66"/>
      <c r="I18" s="67">
        <v>15.9</v>
      </c>
      <c r="J18" s="67">
        <f t="shared" si="0"/>
        <v>0</v>
      </c>
      <c r="K18" s="8">
        <f t="shared" si="1"/>
        <v>763.2</v>
      </c>
    </row>
    <row r="19" spans="1:24" ht="33" customHeight="1" x14ac:dyDescent="0.2">
      <c r="A19" s="24" t="s">
        <v>377</v>
      </c>
      <c r="B19" s="79" t="s">
        <v>139</v>
      </c>
      <c r="C19" s="25" t="s">
        <v>140</v>
      </c>
      <c r="D19" s="26" t="s">
        <v>15</v>
      </c>
      <c r="E19" s="18">
        <f>E9</f>
        <v>30</v>
      </c>
      <c r="F19" s="18">
        <f>F9</f>
        <v>48</v>
      </c>
      <c r="G19" s="16">
        <v>1</v>
      </c>
      <c r="H19" s="66"/>
      <c r="I19" s="67">
        <f>32.37*1.5</f>
        <v>48.554999999999993</v>
      </c>
      <c r="J19" s="67">
        <f t="shared" si="0"/>
        <v>0</v>
      </c>
      <c r="K19" s="8">
        <f t="shared" si="1"/>
        <v>2330.64</v>
      </c>
    </row>
    <row r="20" spans="1:24" ht="45" customHeight="1" x14ac:dyDescent="0.2">
      <c r="A20" s="24" t="s">
        <v>379</v>
      </c>
      <c r="B20" s="79" t="s">
        <v>141</v>
      </c>
      <c r="C20" s="25" t="s">
        <v>142</v>
      </c>
      <c r="D20" s="26" t="s">
        <v>15</v>
      </c>
      <c r="E20" s="18">
        <f>E9</f>
        <v>30</v>
      </c>
      <c r="F20" s="18">
        <f>F9</f>
        <v>48</v>
      </c>
      <c r="G20" s="16">
        <v>3</v>
      </c>
      <c r="H20" s="66"/>
      <c r="I20" s="67">
        <f>32.36</f>
        <v>32.36</v>
      </c>
      <c r="J20" s="67">
        <f t="shared" si="0"/>
        <v>0</v>
      </c>
      <c r="K20" s="8">
        <f t="shared" si="1"/>
        <v>1553.28</v>
      </c>
    </row>
    <row r="21" spans="1:24" ht="30" x14ac:dyDescent="0.2">
      <c r="A21" s="24" t="s">
        <v>380</v>
      </c>
      <c r="B21" s="79" t="s">
        <v>147</v>
      </c>
      <c r="C21" s="25" t="s">
        <v>148</v>
      </c>
      <c r="D21" s="26" t="s">
        <v>13</v>
      </c>
      <c r="E21" s="18">
        <v>6</v>
      </c>
      <c r="F21" s="18">
        <f>9+4+2</f>
        <v>15</v>
      </c>
      <c r="G21" s="16">
        <v>1</v>
      </c>
      <c r="H21" s="66"/>
      <c r="I21" s="67">
        <v>49.16</v>
      </c>
      <c r="J21" s="67">
        <f t="shared" si="0"/>
        <v>0</v>
      </c>
      <c r="K21" s="8">
        <f t="shared" si="1"/>
        <v>737.4</v>
      </c>
    </row>
    <row r="22" spans="1:24" ht="30" x14ac:dyDescent="0.2">
      <c r="A22" s="24" t="s">
        <v>381</v>
      </c>
      <c r="B22" s="79" t="s">
        <v>149</v>
      </c>
      <c r="C22" s="25" t="s">
        <v>150</v>
      </c>
      <c r="D22" s="26" t="s">
        <v>13</v>
      </c>
      <c r="E22" s="18">
        <v>4</v>
      </c>
      <c r="F22" s="18">
        <f>9+2+2</f>
        <v>13</v>
      </c>
      <c r="G22" s="16">
        <v>1</v>
      </c>
      <c r="H22" s="66"/>
      <c r="I22" s="67">
        <v>19.260000000000002</v>
      </c>
      <c r="J22" s="67">
        <f t="shared" si="0"/>
        <v>0</v>
      </c>
      <c r="K22" s="8">
        <f t="shared" si="1"/>
        <v>250.38</v>
      </c>
    </row>
    <row r="23" spans="1:24" ht="47.25" customHeight="1" x14ac:dyDescent="0.2">
      <c r="A23" s="24" t="s">
        <v>382</v>
      </c>
      <c r="B23" s="79" t="s">
        <v>24</v>
      </c>
      <c r="C23" s="25" t="s">
        <v>26</v>
      </c>
      <c r="D23" s="26" t="s">
        <v>25</v>
      </c>
      <c r="E23" s="18">
        <f>E10*0.3+E9*0.1</f>
        <v>38.324999999999996</v>
      </c>
      <c r="F23" s="18">
        <f>F10*0.3+F9*0.1</f>
        <v>47.430000000000007</v>
      </c>
      <c r="G23" s="16">
        <v>1</v>
      </c>
      <c r="H23" s="66"/>
      <c r="I23" s="67">
        <v>16.989999999999998</v>
      </c>
      <c r="J23" s="67">
        <f t="shared" si="0"/>
        <v>0</v>
      </c>
      <c r="K23" s="8">
        <f t="shared" si="1"/>
        <v>805.84</v>
      </c>
    </row>
    <row r="24" spans="1:24" ht="51" customHeight="1" x14ac:dyDescent="0.2">
      <c r="A24" s="24" t="s">
        <v>384</v>
      </c>
      <c r="B24" s="79" t="s">
        <v>27</v>
      </c>
      <c r="C24" s="25" t="s">
        <v>28</v>
      </c>
      <c r="D24" s="26" t="s">
        <v>25</v>
      </c>
      <c r="E24" s="18">
        <f>E23</f>
        <v>38.324999999999996</v>
      </c>
      <c r="F24" s="18">
        <f>F23</f>
        <v>47.430000000000007</v>
      </c>
      <c r="G24" s="16">
        <v>2</v>
      </c>
      <c r="H24" s="66"/>
      <c r="I24" s="67">
        <v>7.1</v>
      </c>
      <c r="J24" s="67">
        <f t="shared" si="0"/>
        <v>0</v>
      </c>
      <c r="K24" s="8">
        <f t="shared" si="1"/>
        <v>336.75</v>
      </c>
    </row>
    <row r="25" spans="1:24" ht="36" customHeight="1" x14ac:dyDescent="0.2">
      <c r="A25" s="24" t="s">
        <v>448</v>
      </c>
      <c r="B25" s="79" t="s">
        <v>208</v>
      </c>
      <c r="C25" s="25" t="s">
        <v>463</v>
      </c>
      <c r="D25" s="26" t="s">
        <v>62</v>
      </c>
      <c r="E25" s="57">
        <v>1</v>
      </c>
      <c r="F25" s="18">
        <v>1</v>
      </c>
      <c r="G25" s="16">
        <v>1</v>
      </c>
      <c r="H25" s="66"/>
      <c r="I25" s="67">
        <f>-350+2000</f>
        <v>1650</v>
      </c>
      <c r="J25" s="67">
        <f t="shared" si="0"/>
        <v>0</v>
      </c>
      <c r="K25" s="8">
        <f t="shared" si="1"/>
        <v>1650</v>
      </c>
    </row>
    <row r="26" spans="1:24" ht="15" x14ac:dyDescent="0.2">
      <c r="A26" s="14" t="s">
        <v>224</v>
      </c>
      <c r="B26" s="77" t="s">
        <v>10</v>
      </c>
      <c r="C26" s="15" t="s">
        <v>30</v>
      </c>
      <c r="D26" s="16"/>
      <c r="E26" s="55"/>
      <c r="F26" s="18"/>
      <c r="G26" s="16"/>
      <c r="H26" s="66"/>
      <c r="I26" s="67"/>
      <c r="J26" s="68">
        <f>SUM(J27:J32)</f>
        <v>0</v>
      </c>
      <c r="K26" s="7">
        <f>SUM(K27:K32)</f>
        <v>28879.190000000002</v>
      </c>
    </row>
    <row r="27" spans="1:24" ht="30" x14ac:dyDescent="0.2">
      <c r="A27" s="24" t="s">
        <v>223</v>
      </c>
      <c r="B27" s="79" t="s">
        <v>31</v>
      </c>
      <c r="C27" s="25" t="s">
        <v>33</v>
      </c>
      <c r="D27" s="26" t="s">
        <v>32</v>
      </c>
      <c r="E27" s="58">
        <f>252.9/1000</f>
        <v>0.25290000000000001</v>
      </c>
      <c r="F27" s="29">
        <f>(172.42+75.83+4.5)/1000</f>
        <v>0.25274999999999997</v>
      </c>
      <c r="G27" s="16">
        <v>1</v>
      </c>
      <c r="H27" s="66"/>
      <c r="I27" s="67">
        <v>2651.36</v>
      </c>
      <c r="J27" s="67">
        <f t="shared" ref="J27:K30" si="2">ROUND(E27*H27,2)</f>
        <v>0</v>
      </c>
      <c r="K27" s="8">
        <f t="shared" si="2"/>
        <v>670.13</v>
      </c>
    </row>
    <row r="28" spans="1:24" ht="45" x14ac:dyDescent="0.2">
      <c r="A28" s="24" t="s">
        <v>225</v>
      </c>
      <c r="B28" s="79" t="s">
        <v>34</v>
      </c>
      <c r="C28" s="25" t="s">
        <v>35</v>
      </c>
      <c r="D28" s="26" t="s">
        <v>25</v>
      </c>
      <c r="E28" s="18">
        <f>((35.4+41+4.5)*1*1.8-$E$23-$E$29)*80%</f>
        <v>51.484800000000021</v>
      </c>
      <c r="F28" s="18">
        <f>((172.42-59+75.83+4.5)*1*1.8-$F$23-$F$29)*80%</f>
        <v>159.04480000000001</v>
      </c>
      <c r="G28" s="16">
        <v>1</v>
      </c>
      <c r="H28" s="66"/>
      <c r="I28" s="67">
        <f>1.52413+40.46</f>
        <v>41.98413</v>
      </c>
      <c r="J28" s="67">
        <f t="shared" si="2"/>
        <v>0</v>
      </c>
      <c r="K28" s="8">
        <f t="shared" si="2"/>
        <v>6677.36</v>
      </c>
    </row>
    <row r="29" spans="1:24" ht="45" x14ac:dyDescent="0.2">
      <c r="A29" s="24" t="s">
        <v>226</v>
      </c>
      <c r="B29" s="79" t="s">
        <v>36</v>
      </c>
      <c r="C29" s="25" t="s">
        <v>37</v>
      </c>
      <c r="D29" s="26" t="s">
        <v>25</v>
      </c>
      <c r="E29" s="18">
        <f>E34+(3.14*(0.055^2*(41)+0.08^2*35.4+0.045^2*4.5))</f>
        <v>42.938999999999993</v>
      </c>
      <c r="F29" s="18">
        <f>F34+(3.14*(0.055^2*(172.42-59)+0.08^2*75.83+0.045^2*4.5))</f>
        <v>102.514</v>
      </c>
      <c r="G29" s="16">
        <v>1</v>
      </c>
      <c r="H29" s="66"/>
      <c r="I29" s="67">
        <f>2.364604+45.97</f>
        <v>48.334603999999999</v>
      </c>
      <c r="J29" s="67">
        <f t="shared" si="2"/>
        <v>0</v>
      </c>
      <c r="K29" s="8">
        <f t="shared" si="2"/>
        <v>4954.97</v>
      </c>
    </row>
    <row r="30" spans="1:24" ht="60" x14ac:dyDescent="0.2">
      <c r="A30" s="24" t="s">
        <v>227</v>
      </c>
      <c r="B30" s="79" t="s">
        <v>38</v>
      </c>
      <c r="C30" s="25" t="s">
        <v>39</v>
      </c>
      <c r="D30" s="26" t="s">
        <v>25</v>
      </c>
      <c r="E30" s="57">
        <f>E29</f>
        <v>42.938999999999993</v>
      </c>
      <c r="F30" s="18">
        <f>F29</f>
        <v>102.514</v>
      </c>
      <c r="G30" s="16">
        <v>2</v>
      </c>
      <c r="H30" s="66"/>
      <c r="I30" s="67">
        <f>2.364604+8.53</f>
        <v>10.894603999999999</v>
      </c>
      <c r="J30" s="67">
        <f t="shared" si="2"/>
        <v>0</v>
      </c>
      <c r="K30" s="8">
        <f t="shared" si="2"/>
        <v>1116.8499999999999</v>
      </c>
    </row>
    <row r="31" spans="1:24" ht="50.25" customHeight="1" x14ac:dyDescent="0.2">
      <c r="A31" s="24" t="s">
        <v>228</v>
      </c>
      <c r="B31" s="79" t="s">
        <v>40</v>
      </c>
      <c r="C31" s="25" t="s">
        <v>41</v>
      </c>
      <c r="D31" s="26" t="s">
        <v>25</v>
      </c>
      <c r="E31" s="18">
        <f>((35.4+41+4.5)*1*1.8-$E$23-$E$29)*20%</f>
        <v>12.871200000000005</v>
      </c>
      <c r="F31" s="18">
        <f>((172.42-59+75.83+4.5)*1*1.8-$F$23-$F$29)*20%</f>
        <v>39.761200000000002</v>
      </c>
      <c r="G31" s="16">
        <v>1</v>
      </c>
      <c r="H31" s="66"/>
      <c r="I31" s="67">
        <f>6.096521+170.78-0.894339</f>
        <v>175.98218199999999</v>
      </c>
      <c r="J31" s="67">
        <f>ROUND(E31*H31,2)</f>
        <v>0</v>
      </c>
      <c r="K31" s="8">
        <f>ROUND(F31*I31,2)-0.1</f>
        <v>6997.16</v>
      </c>
    </row>
    <row r="32" spans="1:24" ht="65.25" customHeight="1" x14ac:dyDescent="0.2">
      <c r="A32" s="24" t="s">
        <v>229</v>
      </c>
      <c r="B32" s="79" t="s">
        <v>42</v>
      </c>
      <c r="C32" s="25" t="s">
        <v>43</v>
      </c>
      <c r="D32" s="26" t="s">
        <v>15</v>
      </c>
      <c r="E32" s="18">
        <f>(80.9+2.5*2*6)*1.8*2</f>
        <v>399.24</v>
      </c>
      <c r="F32" s="18">
        <f>(172.42+75.83-59+27.21)*1.8*2</f>
        <v>779.25600000000009</v>
      </c>
      <c r="G32" s="16">
        <v>1</v>
      </c>
      <c r="H32" s="66"/>
      <c r="I32" s="67">
        <v>10.86</v>
      </c>
      <c r="J32" s="67">
        <f>ROUND(E32*H32,2)</f>
        <v>0</v>
      </c>
      <c r="K32" s="8">
        <f>ROUND(F32*I32,2)</f>
        <v>8462.7199999999993</v>
      </c>
      <c r="V32" s="2" t="s">
        <v>457</v>
      </c>
      <c r="W32" s="2" t="s">
        <v>459</v>
      </c>
      <c r="X32" s="2" t="s">
        <v>460</v>
      </c>
    </row>
    <row r="33" spans="1:25" s="6" customFormat="1" ht="15" x14ac:dyDescent="0.2">
      <c r="A33" s="19" t="s">
        <v>231</v>
      </c>
      <c r="B33" s="78" t="s">
        <v>10</v>
      </c>
      <c r="C33" s="20" t="s">
        <v>220</v>
      </c>
      <c r="D33" s="21"/>
      <c r="E33" s="56"/>
      <c r="F33" s="23"/>
      <c r="G33" s="21"/>
      <c r="H33" s="66"/>
      <c r="I33" s="68"/>
      <c r="J33" s="68">
        <f>SUM(J34:J44)</f>
        <v>0</v>
      </c>
      <c r="K33" s="7">
        <f>SUM(K34:K44)</f>
        <v>33575.020000000004</v>
      </c>
      <c r="T33" s="51"/>
      <c r="U33" s="2">
        <v>90</v>
      </c>
      <c r="V33" s="2">
        <v>4.5</v>
      </c>
      <c r="W33" s="2">
        <v>0</v>
      </c>
      <c r="X33" s="2">
        <v>4.5</v>
      </c>
      <c r="Y33" s="2"/>
    </row>
    <row r="34" spans="1:25" ht="35.25" customHeight="1" x14ac:dyDescent="0.2">
      <c r="A34" s="24" t="s">
        <v>232</v>
      </c>
      <c r="B34" s="79" t="s">
        <v>48</v>
      </c>
      <c r="C34" s="25" t="s">
        <v>49</v>
      </c>
      <c r="D34" s="26" t="s">
        <v>25</v>
      </c>
      <c r="E34" s="18">
        <f>41*1*(0.1+0.41)+35.4*1*(0.1+0.46)+4.5*(0.1+0.39)-(3.14*(0.055^2*(41)+0.08^2*35.4+0.045^2*4.5))</f>
        <v>41.809549849999996</v>
      </c>
      <c r="F34" s="18">
        <f>(172.42-59)*1*(0.1+0.41)+75.83*1*(0.1+0.46)+4.5*(0.1+0.39)-(3.14*(0.055^2*(172.42-59)+0.08^2*75.83+0.045^2*4.5))</f>
        <v>99.8841872</v>
      </c>
      <c r="G34" s="16">
        <v>1</v>
      </c>
      <c r="H34" s="66"/>
      <c r="I34" s="67">
        <v>161.5762</v>
      </c>
      <c r="J34" s="67">
        <f t="shared" ref="J34:J44" si="3">ROUND(E34*H34,2)</f>
        <v>0</v>
      </c>
      <c r="K34" s="8">
        <f t="shared" ref="K34:K44" si="4">ROUND(F34*I34,2)</f>
        <v>16138.91</v>
      </c>
      <c r="U34" s="2">
        <v>160</v>
      </c>
      <c r="V34" s="49">
        <f>E71+E55</f>
        <v>75.900000000000006</v>
      </c>
      <c r="W34" s="2">
        <v>40.5</v>
      </c>
      <c r="X34" s="49">
        <f>V34-W34</f>
        <v>35.400000000000006</v>
      </c>
    </row>
    <row r="35" spans="1:25" ht="45" x14ac:dyDescent="0.2">
      <c r="A35" s="24" t="s">
        <v>233</v>
      </c>
      <c r="B35" s="79" t="s">
        <v>50</v>
      </c>
      <c r="C35" s="25" t="s">
        <v>51</v>
      </c>
      <c r="D35" s="26" t="s">
        <v>25</v>
      </c>
      <c r="E35" s="18">
        <f>E34</f>
        <v>41.809549849999996</v>
      </c>
      <c r="F35" s="18">
        <f>F34</f>
        <v>99.8841872</v>
      </c>
      <c r="G35" s="16">
        <v>1</v>
      </c>
      <c r="H35" s="66"/>
      <c r="I35" s="67">
        <v>43.952599999999997</v>
      </c>
      <c r="J35" s="67">
        <f t="shared" si="3"/>
        <v>0</v>
      </c>
      <c r="K35" s="8">
        <f t="shared" si="4"/>
        <v>4390.17</v>
      </c>
      <c r="U35" s="2">
        <v>110</v>
      </c>
      <c r="V35" s="49">
        <f>E56+E70</f>
        <v>172.5</v>
      </c>
      <c r="W35" s="2">
        <v>131.5</v>
      </c>
      <c r="X35" s="49">
        <f>V35-W35</f>
        <v>41</v>
      </c>
    </row>
    <row r="36" spans="1:25" ht="30" x14ac:dyDescent="0.2">
      <c r="A36" s="24" t="s">
        <v>234</v>
      </c>
      <c r="B36" s="79" t="s">
        <v>52</v>
      </c>
      <c r="C36" s="25" t="s">
        <v>53</v>
      </c>
      <c r="D36" s="26" t="s">
        <v>25</v>
      </c>
      <c r="E36" s="18">
        <f>E35+E37</f>
        <v>93.294349850000017</v>
      </c>
      <c r="F36" s="18">
        <f>F35+F37</f>
        <v>258.92898719999999</v>
      </c>
      <c r="G36" s="16">
        <v>1</v>
      </c>
      <c r="H36" s="66"/>
      <c r="I36" s="67">
        <v>14.28</v>
      </c>
      <c r="J36" s="67">
        <f t="shared" si="3"/>
        <v>0</v>
      </c>
      <c r="K36" s="8">
        <f t="shared" si="4"/>
        <v>3697.51</v>
      </c>
      <c r="U36" s="2" t="s">
        <v>458</v>
      </c>
      <c r="V36" s="49">
        <f>V34+V35+V33</f>
        <v>252.9</v>
      </c>
      <c r="W36" s="49">
        <f>W34+W35+W33</f>
        <v>172</v>
      </c>
      <c r="X36" s="49">
        <f>X34+X35+X33</f>
        <v>80.900000000000006</v>
      </c>
    </row>
    <row r="37" spans="1:25" ht="45" x14ac:dyDescent="0.2">
      <c r="A37" s="24" t="s">
        <v>235</v>
      </c>
      <c r="B37" s="79" t="s">
        <v>54</v>
      </c>
      <c r="C37" s="25" t="s">
        <v>55</v>
      </c>
      <c r="D37" s="26" t="s">
        <v>25</v>
      </c>
      <c r="E37" s="18">
        <f>E28</f>
        <v>51.484800000000021</v>
      </c>
      <c r="F37" s="18">
        <f>F28</f>
        <v>159.04480000000001</v>
      </c>
      <c r="G37" s="16">
        <v>1</v>
      </c>
      <c r="H37" s="66"/>
      <c r="I37" s="67">
        <f>9.49</f>
        <v>9.49</v>
      </c>
      <c r="J37" s="67">
        <f t="shared" si="3"/>
        <v>0</v>
      </c>
      <c r="K37" s="8">
        <f t="shared" si="4"/>
        <v>1509.34</v>
      </c>
    </row>
    <row r="38" spans="1:25" ht="30" x14ac:dyDescent="0.2">
      <c r="A38" s="24" t="s">
        <v>236</v>
      </c>
      <c r="B38" s="79" t="s">
        <v>56</v>
      </c>
      <c r="C38" s="25" t="s">
        <v>57</v>
      </c>
      <c r="D38" s="26" t="s">
        <v>15</v>
      </c>
      <c r="E38" s="57">
        <f>59.5*1.1</f>
        <v>65.45</v>
      </c>
      <c r="F38" s="18">
        <f>159.5*1</f>
        <v>159.5</v>
      </c>
      <c r="G38" s="16">
        <v>1</v>
      </c>
      <c r="H38" s="66"/>
      <c r="I38" s="67">
        <v>3.09</v>
      </c>
      <c r="J38" s="67">
        <f t="shared" si="3"/>
        <v>0</v>
      </c>
      <c r="K38" s="8">
        <f t="shared" si="4"/>
        <v>492.86</v>
      </c>
    </row>
    <row r="39" spans="1:25" ht="30" x14ac:dyDescent="0.2">
      <c r="A39" s="24" t="s">
        <v>237</v>
      </c>
      <c r="B39" s="79" t="s">
        <v>58</v>
      </c>
      <c r="C39" s="25" t="s">
        <v>60</v>
      </c>
      <c r="D39" s="26" t="s">
        <v>59</v>
      </c>
      <c r="E39" s="58">
        <f>E38/10000</f>
        <v>6.5450000000000005E-3</v>
      </c>
      <c r="F39" s="18">
        <f>F38/1000</f>
        <v>0.1595</v>
      </c>
      <c r="G39" s="16">
        <v>1</v>
      </c>
      <c r="H39" s="66"/>
      <c r="I39" s="67">
        <v>1481.57</v>
      </c>
      <c r="J39" s="67">
        <f t="shared" si="3"/>
        <v>0</v>
      </c>
      <c r="K39" s="8">
        <f t="shared" si="4"/>
        <v>236.31</v>
      </c>
    </row>
    <row r="40" spans="1:25" ht="30" x14ac:dyDescent="0.2">
      <c r="A40" s="24" t="s">
        <v>238</v>
      </c>
      <c r="B40" s="79" t="s">
        <v>61</v>
      </c>
      <c r="C40" s="25" t="s">
        <v>63</v>
      </c>
      <c r="D40" s="26" t="s">
        <v>62</v>
      </c>
      <c r="E40" s="59">
        <v>3</v>
      </c>
      <c r="F40" s="30">
        <v>6</v>
      </c>
      <c r="G40" s="16">
        <v>1</v>
      </c>
      <c r="H40" s="66"/>
      <c r="I40" s="67">
        <v>286.57</v>
      </c>
      <c r="J40" s="67">
        <f t="shared" si="3"/>
        <v>0</v>
      </c>
      <c r="K40" s="8">
        <f t="shared" si="4"/>
        <v>1719.42</v>
      </c>
    </row>
    <row r="41" spans="1:25" ht="30" x14ac:dyDescent="0.2">
      <c r="A41" s="24" t="s">
        <v>239</v>
      </c>
      <c r="B41" s="79" t="s">
        <v>64</v>
      </c>
      <c r="C41" s="25" t="s">
        <v>65</v>
      </c>
      <c r="D41" s="26" t="s">
        <v>62</v>
      </c>
      <c r="E41" s="59">
        <v>3</v>
      </c>
      <c r="F41" s="30">
        <v>6</v>
      </c>
      <c r="G41" s="16">
        <v>1</v>
      </c>
      <c r="H41" s="66"/>
      <c r="I41" s="67">
        <v>179.53</v>
      </c>
      <c r="J41" s="67">
        <f t="shared" si="3"/>
        <v>0</v>
      </c>
      <c r="K41" s="8">
        <f t="shared" si="4"/>
        <v>1077.18</v>
      </c>
    </row>
    <row r="42" spans="1:25" ht="45" x14ac:dyDescent="0.2">
      <c r="A42" s="24" t="s">
        <v>240</v>
      </c>
      <c r="B42" s="79" t="s">
        <v>66</v>
      </c>
      <c r="C42" s="25" t="s">
        <v>67</v>
      </c>
      <c r="D42" s="26" t="s">
        <v>62</v>
      </c>
      <c r="E42" s="59">
        <v>9</v>
      </c>
      <c r="F42" s="30">
        <v>22</v>
      </c>
      <c r="G42" s="16">
        <v>1</v>
      </c>
      <c r="H42" s="66"/>
      <c r="I42" s="67">
        <v>79.23</v>
      </c>
      <c r="J42" s="67">
        <f t="shared" si="3"/>
        <v>0</v>
      </c>
      <c r="K42" s="8">
        <f t="shared" si="4"/>
        <v>1743.06</v>
      </c>
    </row>
    <row r="43" spans="1:25" ht="45" x14ac:dyDescent="0.2">
      <c r="A43" s="24" t="s">
        <v>241</v>
      </c>
      <c r="B43" s="79" t="s">
        <v>68</v>
      </c>
      <c r="C43" s="25" t="s">
        <v>69</v>
      </c>
      <c r="D43" s="26" t="s">
        <v>62</v>
      </c>
      <c r="E43" s="59">
        <v>9</v>
      </c>
      <c r="F43" s="30">
        <v>22</v>
      </c>
      <c r="G43" s="16">
        <v>1</v>
      </c>
      <c r="H43" s="66"/>
      <c r="I43" s="67">
        <v>68.680000000000007</v>
      </c>
      <c r="J43" s="67">
        <f t="shared" si="3"/>
        <v>0</v>
      </c>
      <c r="K43" s="8">
        <f t="shared" si="4"/>
        <v>1510.96</v>
      </c>
    </row>
    <row r="44" spans="1:25" ht="30" x14ac:dyDescent="0.2">
      <c r="A44" s="24" t="s">
        <v>242</v>
      </c>
      <c r="B44" s="79" t="s">
        <v>70</v>
      </c>
      <c r="C44" s="25" t="s">
        <v>71</v>
      </c>
      <c r="D44" s="26" t="s">
        <v>13</v>
      </c>
      <c r="E44" s="57">
        <f>9*1.1</f>
        <v>9.9</v>
      </c>
      <c r="F44" s="18">
        <f>22*1.5</f>
        <v>33</v>
      </c>
      <c r="G44" s="16">
        <v>1</v>
      </c>
      <c r="H44" s="66"/>
      <c r="I44" s="67">
        <v>32.1</v>
      </c>
      <c r="J44" s="67">
        <f t="shared" si="3"/>
        <v>0</v>
      </c>
      <c r="K44" s="8">
        <f t="shared" si="4"/>
        <v>1059.3</v>
      </c>
    </row>
    <row r="45" spans="1:25" ht="15" x14ac:dyDescent="0.2">
      <c r="A45" s="19" t="s">
        <v>243</v>
      </c>
      <c r="B45" s="78" t="s">
        <v>10</v>
      </c>
      <c r="C45" s="20" t="s">
        <v>428</v>
      </c>
      <c r="D45" s="21"/>
      <c r="E45" s="56"/>
      <c r="F45" s="23"/>
      <c r="G45" s="21"/>
      <c r="H45" s="66"/>
      <c r="I45" s="68"/>
      <c r="J45" s="68">
        <f>SUM(J46:J81)</f>
        <v>0</v>
      </c>
      <c r="K45" s="7">
        <f>SUM(K46:K81)</f>
        <v>72378.880000000005</v>
      </c>
    </row>
    <row r="46" spans="1:25" ht="30" x14ac:dyDescent="0.2">
      <c r="A46" s="24" t="s">
        <v>244</v>
      </c>
      <c r="B46" s="79" t="s">
        <v>73</v>
      </c>
      <c r="C46" s="25" t="s">
        <v>364</v>
      </c>
      <c r="D46" s="26" t="s">
        <v>13</v>
      </c>
      <c r="E46" s="57">
        <v>41</v>
      </c>
      <c r="F46" s="18">
        <f>172.42-59</f>
        <v>113.41999999999999</v>
      </c>
      <c r="G46" s="16">
        <v>1</v>
      </c>
      <c r="H46" s="66"/>
      <c r="I46" s="67">
        <v>11.06</v>
      </c>
      <c r="J46" s="67">
        <f t="shared" ref="J46:J81" si="5">ROUND(E46*H46,2)</f>
        <v>0</v>
      </c>
      <c r="K46" s="8">
        <f t="shared" ref="K46:K81" si="6">ROUND(F46*I46,2)</f>
        <v>1254.43</v>
      </c>
    </row>
    <row r="47" spans="1:25" ht="15" x14ac:dyDescent="0.2">
      <c r="A47" s="24" t="s">
        <v>245</v>
      </c>
      <c r="B47" s="79" t="s">
        <v>73</v>
      </c>
      <c r="C47" s="25" t="s">
        <v>365</v>
      </c>
      <c r="D47" s="26" t="s">
        <v>13</v>
      </c>
      <c r="E47" s="57">
        <v>35.4</v>
      </c>
      <c r="F47" s="18">
        <v>75.83</v>
      </c>
      <c r="G47" s="16">
        <v>1</v>
      </c>
      <c r="H47" s="66"/>
      <c r="I47" s="67">
        <v>14.46</v>
      </c>
      <c r="J47" s="67">
        <f t="shared" si="5"/>
        <v>0</v>
      </c>
      <c r="K47" s="8">
        <f t="shared" si="6"/>
        <v>1096.5</v>
      </c>
    </row>
    <row r="48" spans="1:25" ht="30" customHeight="1" x14ac:dyDescent="0.2">
      <c r="A48" s="24" t="s">
        <v>246</v>
      </c>
      <c r="B48" s="79" t="s">
        <v>75</v>
      </c>
      <c r="C48" s="25" t="s">
        <v>431</v>
      </c>
      <c r="D48" s="26" t="s">
        <v>76</v>
      </c>
      <c r="E48" s="59">
        <v>3</v>
      </c>
      <c r="F48" s="30">
        <v>3</v>
      </c>
      <c r="G48" s="16">
        <v>1</v>
      </c>
      <c r="H48" s="66"/>
      <c r="I48" s="67">
        <v>84.36</v>
      </c>
      <c r="J48" s="67">
        <f t="shared" si="5"/>
        <v>0</v>
      </c>
      <c r="K48" s="8">
        <f t="shared" si="6"/>
        <v>253.08</v>
      </c>
    </row>
    <row r="49" spans="1:11" ht="45" x14ac:dyDescent="0.2">
      <c r="A49" s="24" t="s">
        <v>247</v>
      </c>
      <c r="B49" s="79" t="s">
        <v>208</v>
      </c>
      <c r="C49" s="25" t="s">
        <v>429</v>
      </c>
      <c r="D49" s="26" t="s">
        <v>62</v>
      </c>
      <c r="E49" s="59">
        <v>1</v>
      </c>
      <c r="F49" s="30">
        <v>1</v>
      </c>
      <c r="G49" s="16">
        <v>1</v>
      </c>
      <c r="H49" s="66"/>
      <c r="I49" s="67">
        <v>373</v>
      </c>
      <c r="J49" s="67">
        <f t="shared" si="5"/>
        <v>0</v>
      </c>
      <c r="K49" s="8">
        <f t="shared" si="6"/>
        <v>373</v>
      </c>
    </row>
    <row r="50" spans="1:11" ht="30" x14ac:dyDescent="0.2">
      <c r="A50" s="24" t="s">
        <v>248</v>
      </c>
      <c r="B50" s="79" t="s">
        <v>208</v>
      </c>
      <c r="C50" s="25" t="s">
        <v>363</v>
      </c>
      <c r="D50" s="26" t="s">
        <v>62</v>
      </c>
      <c r="E50" s="59">
        <v>1</v>
      </c>
      <c r="F50" s="30">
        <v>1</v>
      </c>
      <c r="G50" s="16">
        <v>1</v>
      </c>
      <c r="H50" s="66"/>
      <c r="I50" s="67">
        <v>373.3</v>
      </c>
      <c r="J50" s="67">
        <f t="shared" si="5"/>
        <v>0</v>
      </c>
      <c r="K50" s="8">
        <f t="shared" si="6"/>
        <v>373.3</v>
      </c>
    </row>
    <row r="51" spans="1:11" ht="30" x14ac:dyDescent="0.2">
      <c r="A51" s="24" t="s">
        <v>249</v>
      </c>
      <c r="B51" s="79" t="s">
        <v>400</v>
      </c>
      <c r="C51" s="25" t="s">
        <v>401</v>
      </c>
      <c r="D51" s="26" t="s">
        <v>76</v>
      </c>
      <c r="E51" s="59">
        <v>1</v>
      </c>
      <c r="F51" s="30">
        <v>1</v>
      </c>
      <c r="G51" s="16">
        <v>1</v>
      </c>
      <c r="H51" s="66"/>
      <c r="I51" s="67">
        <v>352.54</v>
      </c>
      <c r="J51" s="67">
        <f t="shared" si="5"/>
        <v>0</v>
      </c>
      <c r="K51" s="8">
        <f t="shared" si="6"/>
        <v>352.54</v>
      </c>
    </row>
    <row r="52" spans="1:11" ht="30" x14ac:dyDescent="0.2">
      <c r="A52" s="24" t="s">
        <v>250</v>
      </c>
      <c r="B52" s="79" t="s">
        <v>208</v>
      </c>
      <c r="C52" s="25" t="s">
        <v>430</v>
      </c>
      <c r="D52" s="26" t="s">
        <v>62</v>
      </c>
      <c r="E52" s="59">
        <v>1</v>
      </c>
      <c r="F52" s="30">
        <v>1</v>
      </c>
      <c r="G52" s="16">
        <v>1</v>
      </c>
      <c r="H52" s="66"/>
      <c r="I52" s="67">
        <v>373.7</v>
      </c>
      <c r="J52" s="67">
        <f t="shared" si="5"/>
        <v>0</v>
      </c>
      <c r="K52" s="8">
        <f t="shared" si="6"/>
        <v>373.7</v>
      </c>
    </row>
    <row r="53" spans="1:11" ht="30" x14ac:dyDescent="0.2">
      <c r="A53" s="24" t="s">
        <v>251</v>
      </c>
      <c r="B53" s="79" t="s">
        <v>79</v>
      </c>
      <c r="C53" s="25" t="s">
        <v>80</v>
      </c>
      <c r="D53" s="26" t="s">
        <v>62</v>
      </c>
      <c r="E53" s="59">
        <v>2</v>
      </c>
      <c r="F53" s="30">
        <v>2</v>
      </c>
      <c r="G53" s="16">
        <v>1</v>
      </c>
      <c r="H53" s="66"/>
      <c r="I53" s="67">
        <f>1.1*2147.04</f>
        <v>2361.7440000000001</v>
      </c>
      <c r="J53" s="67">
        <f t="shared" si="5"/>
        <v>0</v>
      </c>
      <c r="K53" s="8">
        <f t="shared" si="6"/>
        <v>4723.49</v>
      </c>
    </row>
    <row r="54" spans="1:11" ht="30" x14ac:dyDescent="0.2">
      <c r="A54" s="24" t="s">
        <v>252</v>
      </c>
      <c r="B54" s="79" t="s">
        <v>81</v>
      </c>
      <c r="C54" s="25" t="s">
        <v>82</v>
      </c>
      <c r="D54" s="26" t="s">
        <v>62</v>
      </c>
      <c r="E54" s="59">
        <v>1</v>
      </c>
      <c r="F54" s="30">
        <v>1</v>
      </c>
      <c r="G54" s="16">
        <v>1</v>
      </c>
      <c r="H54" s="66"/>
      <c r="I54" s="67">
        <f>1371.73</f>
        <v>1371.73</v>
      </c>
      <c r="J54" s="67">
        <f t="shared" si="5"/>
        <v>0</v>
      </c>
      <c r="K54" s="8">
        <f t="shared" si="6"/>
        <v>1371.73</v>
      </c>
    </row>
    <row r="55" spans="1:11" ht="30" x14ac:dyDescent="0.2">
      <c r="A55" s="24" t="s">
        <v>253</v>
      </c>
      <c r="B55" s="79" t="s">
        <v>84</v>
      </c>
      <c r="C55" s="25" t="s">
        <v>85</v>
      </c>
      <c r="D55" s="26" t="s">
        <v>13</v>
      </c>
      <c r="E55" s="57">
        <f>75.9-40.5</f>
        <v>35.400000000000006</v>
      </c>
      <c r="F55" s="18">
        <v>75.83</v>
      </c>
      <c r="G55" s="16">
        <v>1</v>
      </c>
      <c r="H55" s="66"/>
      <c r="I55" s="67">
        <v>100.69</v>
      </c>
      <c r="J55" s="67">
        <f t="shared" si="5"/>
        <v>0</v>
      </c>
      <c r="K55" s="8">
        <f t="shared" si="6"/>
        <v>7635.32</v>
      </c>
    </row>
    <row r="56" spans="1:11" ht="30" x14ac:dyDescent="0.2">
      <c r="A56" s="24" t="s">
        <v>254</v>
      </c>
      <c r="B56" s="79" t="s">
        <v>86</v>
      </c>
      <c r="C56" s="25" t="s">
        <v>87</v>
      </c>
      <c r="D56" s="26" t="s">
        <v>13</v>
      </c>
      <c r="E56" s="57">
        <f>172.5-131.5</f>
        <v>41</v>
      </c>
      <c r="F56" s="18">
        <f>172.42</f>
        <v>172.42</v>
      </c>
      <c r="G56" s="16">
        <v>1</v>
      </c>
      <c r="H56" s="66"/>
      <c r="I56" s="67">
        <f>65.29*1.2</f>
        <v>78.347999999999999</v>
      </c>
      <c r="J56" s="67">
        <f t="shared" si="5"/>
        <v>0</v>
      </c>
      <c r="K56" s="8">
        <f t="shared" si="6"/>
        <v>13508.76</v>
      </c>
    </row>
    <row r="57" spans="1:11" ht="30" x14ac:dyDescent="0.2">
      <c r="A57" s="24" t="s">
        <v>255</v>
      </c>
      <c r="B57" s="79" t="s">
        <v>385</v>
      </c>
      <c r="C57" s="25" t="s">
        <v>386</v>
      </c>
      <c r="D57" s="26" t="s">
        <v>13</v>
      </c>
      <c r="E57" s="57">
        <v>4.5</v>
      </c>
      <c r="F57" s="60">
        <v>4.5</v>
      </c>
      <c r="G57" s="16">
        <v>1</v>
      </c>
      <c r="H57" s="66"/>
      <c r="I57" s="67">
        <f>45.37*1.2</f>
        <v>54.443999999999996</v>
      </c>
      <c r="J57" s="67">
        <f t="shared" si="5"/>
        <v>0</v>
      </c>
      <c r="K57" s="8">
        <f t="shared" si="6"/>
        <v>245</v>
      </c>
    </row>
    <row r="58" spans="1:11" ht="30" x14ac:dyDescent="0.2">
      <c r="A58" s="24" t="s">
        <v>256</v>
      </c>
      <c r="B58" s="79" t="s">
        <v>88</v>
      </c>
      <c r="C58" s="25" t="s">
        <v>462</v>
      </c>
      <c r="D58" s="26" t="s">
        <v>76</v>
      </c>
      <c r="E58" s="59">
        <v>1</v>
      </c>
      <c r="F58" s="31">
        <v>1</v>
      </c>
      <c r="G58" s="16">
        <v>1</v>
      </c>
      <c r="H58" s="66"/>
      <c r="I58" s="67">
        <f>64.54+570.42</f>
        <v>634.95999999999992</v>
      </c>
      <c r="J58" s="67">
        <f t="shared" si="5"/>
        <v>0</v>
      </c>
      <c r="K58" s="8">
        <f t="shared" si="6"/>
        <v>634.96</v>
      </c>
    </row>
    <row r="59" spans="1:11" ht="15" x14ac:dyDescent="0.2">
      <c r="A59" s="24" t="s">
        <v>257</v>
      </c>
      <c r="B59" s="79" t="s">
        <v>89</v>
      </c>
      <c r="C59" s="25" t="s">
        <v>442</v>
      </c>
      <c r="D59" s="26" t="s">
        <v>76</v>
      </c>
      <c r="E59" s="59">
        <v>2</v>
      </c>
      <c r="F59" s="31">
        <v>2</v>
      </c>
      <c r="G59" s="16">
        <v>1</v>
      </c>
      <c r="H59" s="66"/>
      <c r="I59" s="67">
        <f>64.54+500.91</f>
        <v>565.45000000000005</v>
      </c>
      <c r="J59" s="67">
        <f t="shared" si="5"/>
        <v>0</v>
      </c>
      <c r="K59" s="8">
        <f t="shared" si="6"/>
        <v>1130.9000000000001</v>
      </c>
    </row>
    <row r="60" spans="1:11" ht="30" x14ac:dyDescent="0.2">
      <c r="A60" s="24" t="s">
        <v>258</v>
      </c>
      <c r="B60" s="79" t="s">
        <v>347</v>
      </c>
      <c r="C60" s="25" t="s">
        <v>441</v>
      </c>
      <c r="D60" s="26" t="s">
        <v>76</v>
      </c>
      <c r="E60" s="59">
        <v>2</v>
      </c>
      <c r="F60" s="31">
        <v>2</v>
      </c>
      <c r="G60" s="16">
        <v>1</v>
      </c>
      <c r="H60" s="66"/>
      <c r="I60" s="67">
        <f>24.56+327.77</f>
        <v>352.33</v>
      </c>
      <c r="J60" s="67">
        <f t="shared" si="5"/>
        <v>0</v>
      </c>
      <c r="K60" s="8">
        <f t="shared" si="6"/>
        <v>704.66</v>
      </c>
    </row>
    <row r="61" spans="1:11" ht="30" x14ac:dyDescent="0.2">
      <c r="A61" s="24" t="s">
        <v>259</v>
      </c>
      <c r="B61" s="79" t="s">
        <v>92</v>
      </c>
      <c r="C61" s="25" t="s">
        <v>440</v>
      </c>
      <c r="D61" s="26" t="s">
        <v>76</v>
      </c>
      <c r="E61" s="59">
        <v>3</v>
      </c>
      <c r="F61" s="31">
        <v>3</v>
      </c>
      <c r="G61" s="16">
        <v>1</v>
      </c>
      <c r="H61" s="66"/>
      <c r="I61" s="67">
        <f>54.54+304.19</f>
        <v>358.73</v>
      </c>
      <c r="J61" s="67">
        <f t="shared" si="5"/>
        <v>0</v>
      </c>
      <c r="K61" s="8">
        <f t="shared" si="6"/>
        <v>1076.19</v>
      </c>
    </row>
    <row r="62" spans="1:11" ht="30" x14ac:dyDescent="0.2">
      <c r="A62" s="24" t="s">
        <v>260</v>
      </c>
      <c r="B62" s="79" t="s">
        <v>93</v>
      </c>
      <c r="C62" s="25" t="s">
        <v>350</v>
      </c>
      <c r="D62" s="26" t="s">
        <v>76</v>
      </c>
      <c r="E62" s="59">
        <v>1</v>
      </c>
      <c r="F62" s="31">
        <v>1</v>
      </c>
      <c r="G62" s="16">
        <v>1</v>
      </c>
      <c r="H62" s="66"/>
      <c r="I62" s="67">
        <f>54.54+305.74</f>
        <v>360.28000000000003</v>
      </c>
      <c r="J62" s="67">
        <f t="shared" si="5"/>
        <v>0</v>
      </c>
      <c r="K62" s="8">
        <f t="shared" si="6"/>
        <v>360.28</v>
      </c>
    </row>
    <row r="63" spans="1:11" ht="15" x14ac:dyDescent="0.2">
      <c r="A63" s="24" t="s">
        <v>261</v>
      </c>
      <c r="B63" s="79" t="s">
        <v>351</v>
      </c>
      <c r="C63" s="25" t="s">
        <v>437</v>
      </c>
      <c r="D63" s="26" t="s">
        <v>76</v>
      </c>
      <c r="E63" s="59">
        <v>2</v>
      </c>
      <c r="F63" s="31">
        <v>2</v>
      </c>
      <c r="G63" s="16">
        <v>1</v>
      </c>
      <c r="H63" s="66"/>
      <c r="I63" s="67">
        <f>54.54+220.97</f>
        <v>275.51</v>
      </c>
      <c r="J63" s="67">
        <f t="shared" si="5"/>
        <v>0</v>
      </c>
      <c r="K63" s="8">
        <f t="shared" si="6"/>
        <v>551.02</v>
      </c>
    </row>
    <row r="64" spans="1:11" ht="15" x14ac:dyDescent="0.2">
      <c r="A64" s="24" t="s">
        <v>262</v>
      </c>
      <c r="B64" s="79" t="s">
        <v>94</v>
      </c>
      <c r="C64" s="25" t="s">
        <v>438</v>
      </c>
      <c r="D64" s="26" t="s">
        <v>76</v>
      </c>
      <c r="E64" s="59">
        <v>2</v>
      </c>
      <c r="F64" s="31">
        <v>2</v>
      </c>
      <c r="G64" s="16">
        <v>1</v>
      </c>
      <c r="H64" s="66"/>
      <c r="I64" s="67">
        <f>54.54+316.75</f>
        <v>371.29</v>
      </c>
      <c r="J64" s="67">
        <f t="shared" si="5"/>
        <v>0</v>
      </c>
      <c r="K64" s="8">
        <f t="shared" si="6"/>
        <v>742.58</v>
      </c>
    </row>
    <row r="65" spans="1:11" ht="15" x14ac:dyDescent="0.2">
      <c r="A65" s="24" t="s">
        <v>263</v>
      </c>
      <c r="B65" s="79" t="s">
        <v>367</v>
      </c>
      <c r="C65" s="25" t="s">
        <v>439</v>
      </c>
      <c r="D65" s="26" t="s">
        <v>76</v>
      </c>
      <c r="E65" s="59">
        <v>1</v>
      </c>
      <c r="F65" s="31">
        <v>1</v>
      </c>
      <c r="G65" s="16">
        <v>1</v>
      </c>
      <c r="H65" s="66"/>
      <c r="I65" s="67">
        <f>54.54+110/160*316.75</f>
        <v>272.30562500000002</v>
      </c>
      <c r="J65" s="67">
        <f t="shared" si="5"/>
        <v>0</v>
      </c>
      <c r="K65" s="8">
        <f t="shared" si="6"/>
        <v>272.31</v>
      </c>
    </row>
    <row r="66" spans="1:11" ht="15" x14ac:dyDescent="0.2">
      <c r="A66" s="24" t="s">
        <v>264</v>
      </c>
      <c r="B66" s="79" t="s">
        <v>97</v>
      </c>
      <c r="C66" s="25" t="s">
        <v>439</v>
      </c>
      <c r="D66" s="26" t="s">
        <v>76</v>
      </c>
      <c r="E66" s="59">
        <v>4</v>
      </c>
      <c r="F66" s="31">
        <v>4</v>
      </c>
      <c r="G66" s="16">
        <v>1</v>
      </c>
      <c r="H66" s="66"/>
      <c r="I66" s="67">
        <f>54.54+304.19</f>
        <v>358.73</v>
      </c>
      <c r="J66" s="67">
        <f t="shared" si="5"/>
        <v>0</v>
      </c>
      <c r="K66" s="8">
        <f t="shared" si="6"/>
        <v>1434.92</v>
      </c>
    </row>
    <row r="67" spans="1:11" ht="30" x14ac:dyDescent="0.2">
      <c r="A67" s="24" t="s">
        <v>265</v>
      </c>
      <c r="B67" s="79" t="s">
        <v>78</v>
      </c>
      <c r="C67" s="25" t="s">
        <v>461</v>
      </c>
      <c r="D67" s="26" t="s">
        <v>76</v>
      </c>
      <c r="E67" s="59">
        <v>1</v>
      </c>
      <c r="F67" s="30">
        <v>1</v>
      </c>
      <c r="G67" s="16">
        <v>1</v>
      </c>
      <c r="H67" s="66"/>
      <c r="I67" s="67">
        <v>250</v>
      </c>
      <c r="J67" s="67">
        <f t="shared" si="5"/>
        <v>0</v>
      </c>
      <c r="K67" s="8">
        <f t="shared" si="6"/>
        <v>250</v>
      </c>
    </row>
    <row r="68" spans="1:11" ht="30" x14ac:dyDescent="0.2">
      <c r="A68" s="24" t="s">
        <v>266</v>
      </c>
      <c r="B68" s="79" t="s">
        <v>100</v>
      </c>
      <c r="C68" s="25" t="s">
        <v>102</v>
      </c>
      <c r="D68" s="26" t="s">
        <v>101</v>
      </c>
      <c r="E68" s="59">
        <v>13</v>
      </c>
      <c r="F68" s="30">
        <f>75.83/6</f>
        <v>12.638333333333334</v>
      </c>
      <c r="G68" s="16">
        <v>1</v>
      </c>
      <c r="H68" s="66"/>
      <c r="I68" s="67">
        <v>86.11</v>
      </c>
      <c r="J68" s="67">
        <f t="shared" si="5"/>
        <v>0</v>
      </c>
      <c r="K68" s="8">
        <f t="shared" si="6"/>
        <v>1088.29</v>
      </c>
    </row>
    <row r="69" spans="1:11" ht="33.75" customHeight="1" x14ac:dyDescent="0.2">
      <c r="A69" s="24" t="s">
        <v>267</v>
      </c>
      <c r="B69" s="79" t="s">
        <v>103</v>
      </c>
      <c r="C69" s="25" t="s">
        <v>104</v>
      </c>
      <c r="D69" s="26" t="s">
        <v>101</v>
      </c>
      <c r="E69" s="59">
        <v>29</v>
      </c>
      <c r="F69" s="30">
        <f>172.42/6</f>
        <v>28.736666666666665</v>
      </c>
      <c r="G69" s="16">
        <v>1</v>
      </c>
      <c r="H69" s="66"/>
      <c r="I69" s="67">
        <v>69.98</v>
      </c>
      <c r="J69" s="67">
        <f t="shared" si="5"/>
        <v>0</v>
      </c>
      <c r="K69" s="8">
        <f t="shared" si="6"/>
        <v>2010.99</v>
      </c>
    </row>
    <row r="70" spans="1:11" ht="30" x14ac:dyDescent="0.2">
      <c r="A70" s="24" t="s">
        <v>268</v>
      </c>
      <c r="B70" s="79" t="s">
        <v>78</v>
      </c>
      <c r="C70" s="28" t="s">
        <v>456</v>
      </c>
      <c r="D70" s="39" t="s">
        <v>372</v>
      </c>
      <c r="E70" s="61">
        <v>131.5</v>
      </c>
      <c r="F70" s="42">
        <v>59</v>
      </c>
      <c r="G70" s="41">
        <v>1</v>
      </c>
      <c r="H70" s="66"/>
      <c r="I70" s="70">
        <f>353.25</f>
        <v>353.25</v>
      </c>
      <c r="J70" s="67">
        <f t="shared" si="5"/>
        <v>0</v>
      </c>
      <c r="K70" s="8">
        <f t="shared" si="6"/>
        <v>20841.75</v>
      </c>
    </row>
    <row r="71" spans="1:11" ht="30" x14ac:dyDescent="0.2">
      <c r="A71" s="24" t="s">
        <v>269</v>
      </c>
      <c r="B71" s="79" t="s">
        <v>78</v>
      </c>
      <c r="C71" s="28" t="s">
        <v>455</v>
      </c>
      <c r="D71" s="39" t="s">
        <v>372</v>
      </c>
      <c r="E71" s="61">
        <v>40.5</v>
      </c>
      <c r="F71" s="42">
        <v>0</v>
      </c>
      <c r="G71" s="41">
        <v>1</v>
      </c>
      <c r="H71" s="66"/>
      <c r="I71" s="70">
        <f>353.25*1.2</f>
        <v>423.9</v>
      </c>
      <c r="J71" s="67">
        <f t="shared" si="5"/>
        <v>0</v>
      </c>
      <c r="K71" s="8">
        <f t="shared" si="6"/>
        <v>0</v>
      </c>
    </row>
    <row r="72" spans="1:11" ht="30" x14ac:dyDescent="0.2">
      <c r="A72" s="24" t="s">
        <v>270</v>
      </c>
      <c r="B72" s="79" t="s">
        <v>412</v>
      </c>
      <c r="C72" s="25" t="s">
        <v>443</v>
      </c>
      <c r="D72" s="39" t="s">
        <v>76</v>
      </c>
      <c r="E72" s="61">
        <v>3</v>
      </c>
      <c r="F72" s="62">
        <v>3</v>
      </c>
      <c r="G72" s="41">
        <v>1</v>
      </c>
      <c r="H72" s="66"/>
      <c r="I72" s="70">
        <v>104.56</v>
      </c>
      <c r="J72" s="67">
        <f t="shared" si="5"/>
        <v>0</v>
      </c>
      <c r="K72" s="8">
        <f t="shared" si="6"/>
        <v>313.68</v>
      </c>
    </row>
    <row r="73" spans="1:11" ht="30" x14ac:dyDescent="0.2">
      <c r="A73" s="24" t="s">
        <v>271</v>
      </c>
      <c r="B73" s="79" t="s">
        <v>109</v>
      </c>
      <c r="C73" s="25" t="s">
        <v>432</v>
      </c>
      <c r="D73" s="26" t="s">
        <v>62</v>
      </c>
      <c r="E73" s="57">
        <v>2</v>
      </c>
      <c r="F73" s="30">
        <v>2</v>
      </c>
      <c r="G73" s="16">
        <v>1</v>
      </c>
      <c r="H73" s="66"/>
      <c r="I73" s="67">
        <v>3642.12</v>
      </c>
      <c r="J73" s="67">
        <f t="shared" si="5"/>
        <v>0</v>
      </c>
      <c r="K73" s="8">
        <f t="shared" si="6"/>
        <v>7284.24</v>
      </c>
    </row>
    <row r="74" spans="1:11" ht="30" x14ac:dyDescent="0.2">
      <c r="A74" s="24" t="s">
        <v>272</v>
      </c>
      <c r="B74" s="79" t="s">
        <v>111</v>
      </c>
      <c r="C74" s="25" t="s">
        <v>112</v>
      </c>
      <c r="D74" s="26" t="s">
        <v>15</v>
      </c>
      <c r="E74" s="57">
        <v>1.8</v>
      </c>
      <c r="F74" s="18">
        <f>0.3*0.25*4*6</f>
        <v>1.7999999999999998</v>
      </c>
      <c r="G74" s="16">
        <v>1</v>
      </c>
      <c r="H74" s="66"/>
      <c r="I74" s="67">
        <v>47.73</v>
      </c>
      <c r="J74" s="67">
        <f t="shared" si="5"/>
        <v>0</v>
      </c>
      <c r="K74" s="8">
        <f t="shared" si="6"/>
        <v>85.91</v>
      </c>
    </row>
    <row r="75" spans="1:11" ht="37.5" customHeight="1" x14ac:dyDescent="0.2">
      <c r="A75" s="24" t="s">
        <v>273</v>
      </c>
      <c r="B75" s="79" t="s">
        <v>113</v>
      </c>
      <c r="C75" s="25" t="s">
        <v>114</v>
      </c>
      <c r="D75" s="26" t="s">
        <v>25</v>
      </c>
      <c r="E75" s="57">
        <v>0.11</v>
      </c>
      <c r="F75" s="18">
        <f>0.3*0.25*0.25*6</f>
        <v>0.11249999999999999</v>
      </c>
      <c r="G75" s="16">
        <v>1</v>
      </c>
      <c r="H75" s="66"/>
      <c r="I75" s="67">
        <v>242.6</v>
      </c>
      <c r="J75" s="67">
        <f t="shared" si="5"/>
        <v>0</v>
      </c>
      <c r="K75" s="8">
        <f t="shared" si="6"/>
        <v>27.29</v>
      </c>
    </row>
    <row r="76" spans="1:11" ht="45" x14ac:dyDescent="0.2">
      <c r="A76" s="24" t="s">
        <v>335</v>
      </c>
      <c r="B76" s="79" t="s">
        <v>115</v>
      </c>
      <c r="C76" s="25" t="s">
        <v>116</v>
      </c>
      <c r="D76" s="26" t="s">
        <v>13</v>
      </c>
      <c r="E76" s="57">
        <v>80.900000000000006</v>
      </c>
      <c r="F76" s="18">
        <f>172.42+75.83-59</f>
        <v>189.25</v>
      </c>
      <c r="G76" s="16">
        <v>1</v>
      </c>
      <c r="H76" s="66"/>
      <c r="I76" s="67">
        <v>2.04</v>
      </c>
      <c r="J76" s="67">
        <f t="shared" si="5"/>
        <v>0</v>
      </c>
      <c r="K76" s="8">
        <f t="shared" si="6"/>
        <v>386.07</v>
      </c>
    </row>
    <row r="77" spans="1:11" ht="30" x14ac:dyDescent="0.2">
      <c r="A77" s="24" t="s">
        <v>341</v>
      </c>
      <c r="B77" s="79" t="s">
        <v>117</v>
      </c>
      <c r="C77" s="25" t="s">
        <v>118</v>
      </c>
      <c r="D77" s="26" t="s">
        <v>62</v>
      </c>
      <c r="E77" s="57">
        <v>4</v>
      </c>
      <c r="F77" s="18">
        <v>4</v>
      </c>
      <c r="G77" s="16">
        <v>1</v>
      </c>
      <c r="H77" s="66"/>
      <c r="I77" s="67">
        <v>182.78</v>
      </c>
      <c r="J77" s="67">
        <f t="shared" si="5"/>
        <v>0</v>
      </c>
      <c r="K77" s="8">
        <f t="shared" si="6"/>
        <v>731.12</v>
      </c>
    </row>
    <row r="78" spans="1:11" ht="30" x14ac:dyDescent="0.2">
      <c r="A78" s="24" t="s">
        <v>349</v>
      </c>
      <c r="B78" s="79" t="s">
        <v>119</v>
      </c>
      <c r="C78" s="25" t="s">
        <v>121</v>
      </c>
      <c r="D78" s="26" t="s">
        <v>120</v>
      </c>
      <c r="E78" s="18">
        <f>ROUND(252.9/200,2)</f>
        <v>1.26</v>
      </c>
      <c r="F78" s="18">
        <f>ROUND(F76/200,2)</f>
        <v>0.95</v>
      </c>
      <c r="G78" s="16">
        <v>1</v>
      </c>
      <c r="H78" s="66"/>
      <c r="I78" s="67">
        <v>47.13</v>
      </c>
      <c r="J78" s="67">
        <f t="shared" si="5"/>
        <v>0</v>
      </c>
      <c r="K78" s="8">
        <f t="shared" si="6"/>
        <v>44.77</v>
      </c>
    </row>
    <row r="79" spans="1:11" ht="30" x14ac:dyDescent="0.2">
      <c r="A79" s="24" t="s">
        <v>353</v>
      </c>
      <c r="B79" s="79" t="s">
        <v>122</v>
      </c>
      <c r="C79" s="25" t="s">
        <v>123</v>
      </c>
      <c r="D79" s="26" t="s">
        <v>120</v>
      </c>
      <c r="E79" s="57">
        <f>E78</f>
        <v>1.26</v>
      </c>
      <c r="F79" s="18">
        <f>ROUND(F76/200,2)</f>
        <v>0.95</v>
      </c>
      <c r="G79" s="16">
        <v>1</v>
      </c>
      <c r="H79" s="66"/>
      <c r="I79" s="67">
        <v>171.08</v>
      </c>
      <c r="J79" s="67">
        <f t="shared" si="5"/>
        <v>0</v>
      </c>
      <c r="K79" s="8">
        <f t="shared" si="6"/>
        <v>162.53</v>
      </c>
    </row>
    <row r="80" spans="1:11" ht="30" x14ac:dyDescent="0.2">
      <c r="A80" s="24" t="s">
        <v>371</v>
      </c>
      <c r="B80" s="79" t="s">
        <v>124</v>
      </c>
      <c r="C80" s="25" t="s">
        <v>126</v>
      </c>
      <c r="D80" s="26" t="s">
        <v>125</v>
      </c>
      <c r="E80" s="18">
        <f>ROUND(75.9/200,2)</f>
        <v>0.38</v>
      </c>
      <c r="F80" s="18">
        <f>ROUND(75.83/200,2)</f>
        <v>0.38</v>
      </c>
      <c r="G80" s="16">
        <v>1</v>
      </c>
      <c r="H80" s="66"/>
      <c r="I80" s="67">
        <v>867.24</v>
      </c>
      <c r="J80" s="67">
        <f t="shared" si="5"/>
        <v>0</v>
      </c>
      <c r="K80" s="8">
        <f t="shared" si="6"/>
        <v>329.55</v>
      </c>
    </row>
    <row r="81" spans="1:11" ht="36.75" customHeight="1" x14ac:dyDescent="0.2">
      <c r="A81" s="24" t="s">
        <v>454</v>
      </c>
      <c r="B81" s="79" t="s">
        <v>127</v>
      </c>
      <c r="C81" s="25" t="s">
        <v>128</v>
      </c>
      <c r="D81" s="26" t="s">
        <v>125</v>
      </c>
      <c r="E81" s="18">
        <f>ROUND(177/200,2)</f>
        <v>0.89</v>
      </c>
      <c r="F81" s="18">
        <f>ROUND(172.42/200,2)</f>
        <v>0.86</v>
      </c>
      <c r="G81" s="16">
        <v>1</v>
      </c>
      <c r="H81" s="66"/>
      <c r="I81" s="67">
        <v>411.65</v>
      </c>
      <c r="J81" s="67">
        <f t="shared" si="5"/>
        <v>0</v>
      </c>
      <c r="K81" s="8">
        <f t="shared" si="6"/>
        <v>354.02</v>
      </c>
    </row>
    <row r="82" spans="1:11" ht="15" x14ac:dyDescent="0.2">
      <c r="A82" s="14" t="s">
        <v>283</v>
      </c>
      <c r="B82" s="77" t="s">
        <v>7</v>
      </c>
      <c r="C82" s="15" t="s">
        <v>212</v>
      </c>
      <c r="D82" s="16"/>
      <c r="E82" s="55"/>
      <c r="F82" s="18"/>
      <c r="G82" s="16"/>
      <c r="H82" s="66"/>
      <c r="I82" s="67"/>
      <c r="J82" s="68">
        <f>J83+J98+J108+J113</f>
        <v>0</v>
      </c>
      <c r="K82" s="7">
        <f>K83+K98+K108</f>
        <v>12520.68</v>
      </c>
    </row>
    <row r="83" spans="1:11" ht="15" x14ac:dyDescent="0.2">
      <c r="A83" s="14" t="s">
        <v>284</v>
      </c>
      <c r="B83" s="77" t="s">
        <v>10</v>
      </c>
      <c r="C83" s="15" t="s">
        <v>328</v>
      </c>
      <c r="D83" s="16"/>
      <c r="E83" s="55"/>
      <c r="F83" s="18"/>
      <c r="G83" s="16"/>
      <c r="H83" s="66"/>
      <c r="I83" s="67"/>
      <c r="J83" s="68">
        <f>SUM(J84:J97)</f>
        <v>0</v>
      </c>
      <c r="K83" s="7">
        <f>SUM(K84:K97)</f>
        <v>5706.06</v>
      </c>
    </row>
    <row r="84" spans="1:11" ht="30" x14ac:dyDescent="0.2">
      <c r="A84" s="24" t="s">
        <v>151</v>
      </c>
      <c r="B84" s="79" t="s">
        <v>12</v>
      </c>
      <c r="C84" s="25" t="s">
        <v>383</v>
      </c>
      <c r="D84" s="26" t="s">
        <v>13</v>
      </c>
      <c r="E84" s="57">
        <f>2*2*2</f>
        <v>8</v>
      </c>
      <c r="F84" s="18">
        <v>4.5</v>
      </c>
      <c r="G84" s="16">
        <v>1</v>
      </c>
      <c r="H84" s="66"/>
      <c r="I84" s="67">
        <f>0.42857*8.12</f>
        <v>3.4799883999999999</v>
      </c>
      <c r="J84" s="67">
        <f t="shared" ref="J84:J97" si="7">ROUND(E84*H84,2)</f>
        <v>0</v>
      </c>
      <c r="K84" s="8">
        <f t="shared" ref="K84:K97" si="8">ROUND(F84*I84,2)</f>
        <v>15.66</v>
      </c>
    </row>
    <row r="85" spans="1:11" ht="30" x14ac:dyDescent="0.2">
      <c r="A85" s="32" t="s">
        <v>156</v>
      </c>
      <c r="B85" s="80" t="s">
        <v>206</v>
      </c>
      <c r="C85" s="28" t="s">
        <v>207</v>
      </c>
      <c r="D85" s="26" t="s">
        <v>13</v>
      </c>
      <c r="E85" s="57">
        <f>(3*2+1.5)*2</f>
        <v>15</v>
      </c>
      <c r="F85" s="18">
        <f>6*2*2</f>
        <v>24</v>
      </c>
      <c r="G85" s="16">
        <v>1</v>
      </c>
      <c r="H85" s="66"/>
      <c r="I85" s="67">
        <f>0.8636364*6.630789</f>
        <v>5.7265907411196002</v>
      </c>
      <c r="J85" s="67">
        <f t="shared" si="7"/>
        <v>0</v>
      </c>
      <c r="K85" s="8">
        <f t="shared" si="8"/>
        <v>137.44</v>
      </c>
    </row>
    <row r="86" spans="1:11" ht="30" x14ac:dyDescent="0.2">
      <c r="A86" s="24" t="s">
        <v>162</v>
      </c>
      <c r="B86" s="79" t="s">
        <v>359</v>
      </c>
      <c r="C86" s="25" t="s">
        <v>360</v>
      </c>
      <c r="D86" s="26" t="s">
        <v>15</v>
      </c>
      <c r="E86" s="57">
        <f>3*2*2</f>
        <v>12</v>
      </c>
      <c r="F86" s="18">
        <f>6*2*2</f>
        <v>24</v>
      </c>
      <c r="G86" s="16">
        <v>5</v>
      </c>
      <c r="H86" s="66"/>
      <c r="I86" s="67">
        <v>45</v>
      </c>
      <c r="J86" s="67">
        <f t="shared" si="7"/>
        <v>0</v>
      </c>
      <c r="K86" s="8">
        <f t="shared" si="8"/>
        <v>1080</v>
      </c>
    </row>
    <row r="87" spans="1:11" ht="30" x14ac:dyDescent="0.2">
      <c r="A87" s="32" t="s">
        <v>165</v>
      </c>
      <c r="B87" s="79" t="s">
        <v>357</v>
      </c>
      <c r="C87" s="25" t="s">
        <v>358</v>
      </c>
      <c r="D87" s="26" t="s">
        <v>15</v>
      </c>
      <c r="E87" s="18">
        <f>E86+E90</f>
        <v>28.5</v>
      </c>
      <c r="F87" s="18">
        <f>F86+F90</f>
        <v>30.6</v>
      </c>
      <c r="G87" s="16">
        <v>1</v>
      </c>
      <c r="H87" s="66"/>
      <c r="I87" s="67">
        <v>23.03</v>
      </c>
      <c r="J87" s="67">
        <f t="shared" si="7"/>
        <v>0</v>
      </c>
      <c r="K87" s="8">
        <f t="shared" si="8"/>
        <v>704.72</v>
      </c>
    </row>
    <row r="88" spans="1:11" ht="30" x14ac:dyDescent="0.2">
      <c r="A88" s="24" t="s">
        <v>181</v>
      </c>
      <c r="B88" s="79" t="s">
        <v>133</v>
      </c>
      <c r="C88" s="25" t="s">
        <v>134</v>
      </c>
      <c r="D88" s="26" t="s">
        <v>15</v>
      </c>
      <c r="E88" s="18">
        <f>E87</f>
        <v>28.5</v>
      </c>
      <c r="F88" s="18">
        <f>F87</f>
        <v>30.6</v>
      </c>
      <c r="G88" s="16">
        <v>1</v>
      </c>
      <c r="H88" s="66"/>
      <c r="I88" s="67">
        <v>16.899999999999999</v>
      </c>
      <c r="J88" s="67">
        <f t="shared" si="7"/>
        <v>0</v>
      </c>
      <c r="K88" s="8">
        <f t="shared" si="8"/>
        <v>517.14</v>
      </c>
    </row>
    <row r="89" spans="1:11" ht="30" x14ac:dyDescent="0.2">
      <c r="A89" s="32" t="s">
        <v>338</v>
      </c>
      <c r="B89" s="79" t="s">
        <v>135</v>
      </c>
      <c r="C89" s="25" t="s">
        <v>136</v>
      </c>
      <c r="D89" s="26" t="s">
        <v>15</v>
      </c>
      <c r="E89" s="18">
        <f>E87</f>
        <v>28.5</v>
      </c>
      <c r="F89" s="18">
        <f>F87</f>
        <v>30.6</v>
      </c>
      <c r="G89" s="16">
        <v>10</v>
      </c>
      <c r="H89" s="66"/>
      <c r="I89" s="67">
        <v>7.6</v>
      </c>
      <c r="J89" s="67">
        <f t="shared" si="7"/>
        <v>0</v>
      </c>
      <c r="K89" s="8">
        <f t="shared" si="8"/>
        <v>232.56</v>
      </c>
    </row>
    <row r="90" spans="1:11" ht="30" x14ac:dyDescent="0.2">
      <c r="A90" s="24" t="s">
        <v>387</v>
      </c>
      <c r="B90" s="79" t="s">
        <v>20</v>
      </c>
      <c r="C90" s="25" t="s">
        <v>21</v>
      </c>
      <c r="D90" s="26" t="s">
        <v>15</v>
      </c>
      <c r="E90" s="18">
        <f>5.5*1.5*2</f>
        <v>16.5</v>
      </c>
      <c r="F90" s="18">
        <f>2.2*1.5*2</f>
        <v>6.6000000000000005</v>
      </c>
      <c r="G90" s="16">
        <v>1</v>
      </c>
      <c r="H90" s="66"/>
      <c r="I90" s="67">
        <v>16.600000000000001</v>
      </c>
      <c r="J90" s="67">
        <f t="shared" si="7"/>
        <v>0</v>
      </c>
      <c r="K90" s="8">
        <f t="shared" si="8"/>
        <v>109.56</v>
      </c>
    </row>
    <row r="91" spans="1:11" ht="31.5" customHeight="1" x14ac:dyDescent="0.2">
      <c r="A91" s="24" t="s">
        <v>469</v>
      </c>
      <c r="B91" s="79" t="s">
        <v>137</v>
      </c>
      <c r="C91" s="25" t="s">
        <v>468</v>
      </c>
      <c r="D91" s="26" t="s">
        <v>15</v>
      </c>
      <c r="E91" s="18">
        <v>12</v>
      </c>
      <c r="F91" s="18"/>
      <c r="G91" s="16">
        <v>1</v>
      </c>
      <c r="H91" s="66"/>
      <c r="I91" s="67"/>
      <c r="J91" s="67">
        <f t="shared" si="7"/>
        <v>0</v>
      </c>
      <c r="K91" s="8"/>
    </row>
    <row r="92" spans="1:11" ht="45" x14ac:dyDescent="0.2">
      <c r="A92" s="32" t="s">
        <v>388</v>
      </c>
      <c r="B92" s="79" t="s">
        <v>137</v>
      </c>
      <c r="C92" s="25" t="s">
        <v>138</v>
      </c>
      <c r="D92" s="26" t="s">
        <v>15</v>
      </c>
      <c r="E92" s="18">
        <f>E86</f>
        <v>12</v>
      </c>
      <c r="F92" s="18">
        <f>F86</f>
        <v>24</v>
      </c>
      <c r="G92" s="16">
        <v>2</v>
      </c>
      <c r="H92" s="66"/>
      <c r="I92" s="67">
        <v>15.9</v>
      </c>
      <c r="J92" s="67">
        <f t="shared" si="7"/>
        <v>0</v>
      </c>
      <c r="K92" s="8">
        <f t="shared" si="8"/>
        <v>381.6</v>
      </c>
    </row>
    <row r="93" spans="1:11" ht="45" x14ac:dyDescent="0.2">
      <c r="A93" s="24" t="s">
        <v>389</v>
      </c>
      <c r="B93" s="79" t="s">
        <v>139</v>
      </c>
      <c r="C93" s="25" t="s">
        <v>140</v>
      </c>
      <c r="D93" s="26" t="s">
        <v>15</v>
      </c>
      <c r="E93" s="18">
        <f>E92</f>
        <v>12</v>
      </c>
      <c r="F93" s="18">
        <f>F92</f>
        <v>24</v>
      </c>
      <c r="G93" s="16">
        <v>1</v>
      </c>
      <c r="H93" s="66"/>
      <c r="I93" s="67">
        <f>32.37*1.5</f>
        <v>48.554999999999993</v>
      </c>
      <c r="J93" s="67">
        <f t="shared" si="7"/>
        <v>0</v>
      </c>
      <c r="K93" s="8">
        <f t="shared" si="8"/>
        <v>1165.32</v>
      </c>
    </row>
    <row r="94" spans="1:11" ht="45" x14ac:dyDescent="0.2">
      <c r="A94" s="32" t="s">
        <v>390</v>
      </c>
      <c r="B94" s="79" t="s">
        <v>141</v>
      </c>
      <c r="C94" s="25" t="s">
        <v>142</v>
      </c>
      <c r="D94" s="26" t="s">
        <v>15</v>
      </c>
      <c r="E94" s="18">
        <f>E92</f>
        <v>12</v>
      </c>
      <c r="F94" s="18">
        <f>F92</f>
        <v>24</v>
      </c>
      <c r="G94" s="16">
        <v>3</v>
      </c>
      <c r="H94" s="66"/>
      <c r="I94" s="67">
        <f>32.36</f>
        <v>32.36</v>
      </c>
      <c r="J94" s="67">
        <f t="shared" si="7"/>
        <v>0</v>
      </c>
      <c r="K94" s="8">
        <f t="shared" si="8"/>
        <v>776.64</v>
      </c>
    </row>
    <row r="95" spans="1:11" ht="30" x14ac:dyDescent="0.2">
      <c r="A95" s="24" t="s">
        <v>391</v>
      </c>
      <c r="B95" s="79" t="s">
        <v>147</v>
      </c>
      <c r="C95" s="25" t="s">
        <v>148</v>
      </c>
      <c r="D95" s="26" t="s">
        <v>13</v>
      </c>
      <c r="E95" s="18">
        <v>4.5</v>
      </c>
      <c r="F95" s="18">
        <v>4.5</v>
      </c>
      <c r="G95" s="16">
        <v>1</v>
      </c>
      <c r="H95" s="66"/>
      <c r="I95" s="67">
        <v>49.16</v>
      </c>
      <c r="J95" s="67">
        <f t="shared" si="7"/>
        <v>0</v>
      </c>
      <c r="K95" s="8">
        <f t="shared" si="8"/>
        <v>221.22</v>
      </c>
    </row>
    <row r="96" spans="1:11" ht="45" x14ac:dyDescent="0.2">
      <c r="A96" s="32" t="s">
        <v>392</v>
      </c>
      <c r="B96" s="79" t="s">
        <v>24</v>
      </c>
      <c r="C96" s="25" t="s">
        <v>26</v>
      </c>
      <c r="D96" s="26" t="s">
        <v>25</v>
      </c>
      <c r="E96" s="18">
        <f>E87*0.3+E86*0.1</f>
        <v>9.75</v>
      </c>
      <c r="F96" s="18">
        <f>F87*0.3+F86*0.1</f>
        <v>11.58</v>
      </c>
      <c r="G96" s="16">
        <v>1</v>
      </c>
      <c r="H96" s="66"/>
      <c r="I96" s="67">
        <v>26.01</v>
      </c>
      <c r="J96" s="67">
        <f t="shared" si="7"/>
        <v>0</v>
      </c>
      <c r="K96" s="8">
        <f t="shared" si="8"/>
        <v>301.2</v>
      </c>
    </row>
    <row r="97" spans="1:11" ht="51.75" customHeight="1" x14ac:dyDescent="0.2">
      <c r="A97" s="24" t="s">
        <v>393</v>
      </c>
      <c r="B97" s="79" t="s">
        <v>27</v>
      </c>
      <c r="C97" s="25" t="s">
        <v>337</v>
      </c>
      <c r="D97" s="26" t="s">
        <v>25</v>
      </c>
      <c r="E97" s="18">
        <f>E96</f>
        <v>9.75</v>
      </c>
      <c r="F97" s="18">
        <f>F96</f>
        <v>11.58</v>
      </c>
      <c r="G97" s="16">
        <v>4</v>
      </c>
      <c r="H97" s="66"/>
      <c r="I97" s="67">
        <v>5.44</v>
      </c>
      <c r="J97" s="67">
        <f t="shared" si="7"/>
        <v>0</v>
      </c>
      <c r="K97" s="8">
        <f t="shared" si="8"/>
        <v>63</v>
      </c>
    </row>
    <row r="98" spans="1:11" ht="15" x14ac:dyDescent="0.2">
      <c r="A98" s="14" t="s">
        <v>285</v>
      </c>
      <c r="B98" s="77" t="s">
        <v>10</v>
      </c>
      <c r="C98" s="15" t="s">
        <v>30</v>
      </c>
      <c r="D98" s="16"/>
      <c r="E98" s="55"/>
      <c r="F98" s="18"/>
      <c r="G98" s="16"/>
      <c r="H98" s="66"/>
      <c r="I98" s="67"/>
      <c r="J98" s="68">
        <f>SUM(J99:J107)</f>
        <v>0</v>
      </c>
      <c r="K98" s="7">
        <f>SUM(K99:K107)</f>
        <v>4125.5599999999995</v>
      </c>
    </row>
    <row r="99" spans="1:11" ht="30" x14ac:dyDescent="0.2">
      <c r="A99" s="24" t="s">
        <v>286</v>
      </c>
      <c r="B99" s="79" t="s">
        <v>31</v>
      </c>
      <c r="C99" s="25" t="s">
        <v>33</v>
      </c>
      <c r="D99" s="26" t="s">
        <v>32</v>
      </c>
      <c r="E99" s="29">
        <f>21.66/1000</f>
        <v>2.1659999999999999E-2</v>
      </c>
      <c r="F99" s="29">
        <f>21.66/1000</f>
        <v>2.1659999999999999E-2</v>
      </c>
      <c r="G99" s="16">
        <v>1</v>
      </c>
      <c r="H99" s="66"/>
      <c r="I99" s="67">
        <f>2651.36</f>
        <v>2651.36</v>
      </c>
      <c r="J99" s="67">
        <f t="shared" ref="J99:J107" si="9">ROUND(E99*H99,2)</f>
        <v>0</v>
      </c>
      <c r="K99" s="8">
        <f t="shared" ref="K99:K107" si="10">ROUND(F99*I99,2)</f>
        <v>57.43</v>
      </c>
    </row>
    <row r="100" spans="1:11" ht="45" x14ac:dyDescent="0.2">
      <c r="A100" s="24" t="s">
        <v>287</v>
      </c>
      <c r="B100" s="79" t="s">
        <v>36</v>
      </c>
      <c r="C100" s="25" t="s">
        <v>37</v>
      </c>
      <c r="D100" s="26" t="s">
        <v>25</v>
      </c>
      <c r="E100" s="18">
        <f>E109+3.14*0.025^2*21.66</f>
        <v>9.7469999999999999</v>
      </c>
      <c r="F100" s="18">
        <f>F109+3.14*0.025^2*21.66</f>
        <v>9.7469999999999999</v>
      </c>
      <c r="G100" s="16">
        <v>1</v>
      </c>
      <c r="H100" s="66"/>
      <c r="I100" s="67">
        <v>45.97</v>
      </c>
      <c r="J100" s="67">
        <f t="shared" si="9"/>
        <v>0</v>
      </c>
      <c r="K100" s="8">
        <f t="shared" si="10"/>
        <v>448.07</v>
      </c>
    </row>
    <row r="101" spans="1:11" ht="60" x14ac:dyDescent="0.2">
      <c r="A101" s="24" t="s">
        <v>288</v>
      </c>
      <c r="B101" s="79" t="s">
        <v>38</v>
      </c>
      <c r="C101" s="25" t="s">
        <v>157</v>
      </c>
      <c r="D101" s="26" t="s">
        <v>25</v>
      </c>
      <c r="E101" s="18">
        <f>E100</f>
        <v>9.7469999999999999</v>
      </c>
      <c r="F101" s="18">
        <f>F100</f>
        <v>9.7469999999999999</v>
      </c>
      <c r="G101" s="16">
        <v>1</v>
      </c>
      <c r="H101" s="66"/>
      <c r="I101" s="67">
        <v>4.2699999999999996</v>
      </c>
      <c r="J101" s="67">
        <f t="shared" si="9"/>
        <v>0</v>
      </c>
      <c r="K101" s="8">
        <f t="shared" si="10"/>
        <v>41.62</v>
      </c>
    </row>
    <row r="102" spans="1:11" ht="45" customHeight="1" x14ac:dyDescent="0.2">
      <c r="A102" s="24" t="s">
        <v>289</v>
      </c>
      <c r="B102" s="79" t="s">
        <v>158</v>
      </c>
      <c r="C102" s="25" t="s">
        <v>159</v>
      </c>
      <c r="D102" s="26" t="s">
        <v>25</v>
      </c>
      <c r="E102" s="18">
        <f>(21.66*1*1.8-E101)*80%</f>
        <v>23.392800000000001</v>
      </c>
      <c r="F102" s="18">
        <f>(21.66*1*1.8-F101)*80%</f>
        <v>23.392800000000001</v>
      </c>
      <c r="G102" s="16">
        <v>1</v>
      </c>
      <c r="H102" s="66"/>
      <c r="I102" s="67">
        <f>I28</f>
        <v>41.98413</v>
      </c>
      <c r="J102" s="67">
        <f t="shared" si="9"/>
        <v>0</v>
      </c>
      <c r="K102" s="8">
        <f t="shared" si="10"/>
        <v>982.13</v>
      </c>
    </row>
    <row r="103" spans="1:11" ht="45.75" customHeight="1" x14ac:dyDescent="0.2">
      <c r="A103" s="24" t="s">
        <v>290</v>
      </c>
      <c r="B103" s="79" t="s">
        <v>40</v>
      </c>
      <c r="C103" s="25" t="s">
        <v>160</v>
      </c>
      <c r="D103" s="26" t="s">
        <v>25</v>
      </c>
      <c r="E103" s="18">
        <f>(21.66*1*1.8-E101)*20%</f>
        <v>5.8482000000000003</v>
      </c>
      <c r="F103" s="18">
        <f>(21.66*1*1.8-F101)*20%</f>
        <v>5.8482000000000003</v>
      </c>
      <c r="G103" s="16">
        <v>1</v>
      </c>
      <c r="H103" s="66"/>
      <c r="I103" s="67">
        <f>1.6*77.75</f>
        <v>124.4</v>
      </c>
      <c r="J103" s="67">
        <f t="shared" si="9"/>
        <v>0</v>
      </c>
      <c r="K103" s="8">
        <f t="shared" si="10"/>
        <v>727.52</v>
      </c>
    </row>
    <row r="104" spans="1:11" ht="60.75" customHeight="1" x14ac:dyDescent="0.2">
      <c r="A104" s="24" t="s">
        <v>291</v>
      </c>
      <c r="B104" s="79" t="s">
        <v>42</v>
      </c>
      <c r="C104" s="25" t="s">
        <v>43</v>
      </c>
      <c r="D104" s="26" t="s">
        <v>15</v>
      </c>
      <c r="E104" s="18">
        <f>21.66*1.8*2</f>
        <v>77.975999999999999</v>
      </c>
      <c r="F104" s="18">
        <f>21.66*1.8*2</f>
        <v>77.975999999999999</v>
      </c>
      <c r="G104" s="16">
        <v>1</v>
      </c>
      <c r="H104" s="66"/>
      <c r="I104" s="67">
        <v>8.8800000000000008</v>
      </c>
      <c r="J104" s="67">
        <f t="shared" si="9"/>
        <v>0</v>
      </c>
      <c r="K104" s="8">
        <f t="shared" si="10"/>
        <v>692.43</v>
      </c>
    </row>
    <row r="105" spans="1:11" ht="45" x14ac:dyDescent="0.2">
      <c r="A105" s="24" t="s">
        <v>292</v>
      </c>
      <c r="B105" s="79" t="s">
        <v>66</v>
      </c>
      <c r="C105" s="25" t="s">
        <v>67</v>
      </c>
      <c r="D105" s="26" t="s">
        <v>62</v>
      </c>
      <c r="E105" s="30">
        <v>6</v>
      </c>
      <c r="F105" s="30">
        <v>6</v>
      </c>
      <c r="G105" s="16">
        <v>1</v>
      </c>
      <c r="H105" s="66"/>
      <c r="I105" s="67">
        <v>79.23</v>
      </c>
      <c r="J105" s="67">
        <f t="shared" si="9"/>
        <v>0</v>
      </c>
      <c r="K105" s="8">
        <f t="shared" si="10"/>
        <v>475.38</v>
      </c>
    </row>
    <row r="106" spans="1:11" ht="45" x14ac:dyDescent="0.2">
      <c r="A106" s="24" t="s">
        <v>293</v>
      </c>
      <c r="B106" s="79" t="s">
        <v>68</v>
      </c>
      <c r="C106" s="25" t="s">
        <v>69</v>
      </c>
      <c r="D106" s="26" t="s">
        <v>62</v>
      </c>
      <c r="E106" s="30">
        <v>6</v>
      </c>
      <c r="F106" s="30">
        <v>6</v>
      </c>
      <c r="G106" s="16">
        <v>1</v>
      </c>
      <c r="H106" s="66"/>
      <c r="I106" s="67">
        <v>68.680000000000007</v>
      </c>
      <c r="J106" s="67">
        <f t="shared" si="9"/>
        <v>0</v>
      </c>
      <c r="K106" s="8">
        <f t="shared" si="10"/>
        <v>412.08</v>
      </c>
    </row>
    <row r="107" spans="1:11" ht="30" x14ac:dyDescent="0.2">
      <c r="A107" s="24" t="s">
        <v>296</v>
      </c>
      <c r="B107" s="79" t="s">
        <v>70</v>
      </c>
      <c r="C107" s="25" t="s">
        <v>161</v>
      </c>
      <c r="D107" s="26" t="s">
        <v>13</v>
      </c>
      <c r="E107" s="18">
        <f>6*1.5</f>
        <v>9</v>
      </c>
      <c r="F107" s="18">
        <f>6*1.5</f>
        <v>9</v>
      </c>
      <c r="G107" s="16">
        <v>1</v>
      </c>
      <c r="H107" s="66"/>
      <c r="I107" s="67">
        <v>32.1</v>
      </c>
      <c r="J107" s="67">
        <f t="shared" si="9"/>
        <v>0</v>
      </c>
      <c r="K107" s="8">
        <f t="shared" si="10"/>
        <v>288.89999999999998</v>
      </c>
    </row>
    <row r="108" spans="1:11" ht="15" x14ac:dyDescent="0.2">
      <c r="A108" s="14" t="s">
        <v>297</v>
      </c>
      <c r="B108" s="77" t="s">
        <v>10</v>
      </c>
      <c r="C108" s="15" t="s">
        <v>47</v>
      </c>
      <c r="D108" s="16"/>
      <c r="E108" s="55"/>
      <c r="F108" s="18"/>
      <c r="G108" s="16"/>
      <c r="H108" s="66"/>
      <c r="I108" s="67"/>
      <c r="J108" s="68">
        <f>SUM(J109:J112)</f>
        <v>0</v>
      </c>
      <c r="K108" s="7">
        <f>SUM(K109:K112)</f>
        <v>2689.0600000000004</v>
      </c>
    </row>
    <row r="109" spans="1:11" ht="30" x14ac:dyDescent="0.2">
      <c r="A109" s="24" t="s">
        <v>298</v>
      </c>
      <c r="B109" s="79" t="s">
        <v>48</v>
      </c>
      <c r="C109" s="25" t="s">
        <v>354</v>
      </c>
      <c r="D109" s="26" t="s">
        <v>25</v>
      </c>
      <c r="E109" s="18">
        <f>21.66*1*(0.1+0.35)-3.14*0.025^2*21.66</f>
        <v>9.7044922499999995</v>
      </c>
      <c r="F109" s="18">
        <f>21.66*1*(0.1+0.35)-3.14*0.025^2*21.66</f>
        <v>9.7044922499999995</v>
      </c>
      <c r="G109" s="16">
        <v>1</v>
      </c>
      <c r="H109" s="66"/>
      <c r="I109" s="67">
        <f>I34</f>
        <v>161.5762</v>
      </c>
      <c r="J109" s="67">
        <f t="shared" ref="J109:K112" si="11">ROUND(E109*H109,2)</f>
        <v>0</v>
      </c>
      <c r="K109" s="8">
        <f t="shared" si="11"/>
        <v>1568.01</v>
      </c>
    </row>
    <row r="110" spans="1:11" ht="45" x14ac:dyDescent="0.2">
      <c r="A110" s="24" t="s">
        <v>299</v>
      </c>
      <c r="B110" s="79" t="s">
        <v>50</v>
      </c>
      <c r="C110" s="25" t="s">
        <v>51</v>
      </c>
      <c r="D110" s="26" t="s">
        <v>25</v>
      </c>
      <c r="E110" s="18">
        <f>E109</f>
        <v>9.7044922499999995</v>
      </c>
      <c r="F110" s="18">
        <f>F109</f>
        <v>9.7044922499999995</v>
      </c>
      <c r="G110" s="16">
        <v>1</v>
      </c>
      <c r="H110" s="66"/>
      <c r="I110" s="67">
        <v>43.94</v>
      </c>
      <c r="J110" s="67">
        <f t="shared" si="11"/>
        <v>0</v>
      </c>
      <c r="K110" s="8">
        <f t="shared" si="11"/>
        <v>426.42</v>
      </c>
    </row>
    <row r="111" spans="1:11" ht="45" x14ac:dyDescent="0.2">
      <c r="A111" s="24" t="s">
        <v>300</v>
      </c>
      <c r="B111" s="79" t="s">
        <v>163</v>
      </c>
      <c r="C111" s="25" t="s">
        <v>164</v>
      </c>
      <c r="D111" s="26" t="s">
        <v>25</v>
      </c>
      <c r="E111" s="18">
        <f>E102</f>
        <v>23.392800000000001</v>
      </c>
      <c r="F111" s="18">
        <f>F102</f>
        <v>23.392800000000001</v>
      </c>
      <c r="G111" s="16">
        <v>1</v>
      </c>
      <c r="H111" s="66"/>
      <c r="I111" s="67">
        <f>I37</f>
        <v>9.49</v>
      </c>
      <c r="J111" s="67">
        <f t="shared" si="11"/>
        <v>0</v>
      </c>
      <c r="K111" s="8">
        <f t="shared" si="11"/>
        <v>222</v>
      </c>
    </row>
    <row r="112" spans="1:11" ht="30" x14ac:dyDescent="0.2">
      <c r="A112" s="24" t="s">
        <v>301</v>
      </c>
      <c r="B112" s="79" t="s">
        <v>52</v>
      </c>
      <c r="C112" s="25" t="s">
        <v>53</v>
      </c>
      <c r="D112" s="26" t="s">
        <v>25</v>
      </c>
      <c r="E112" s="18">
        <f>E110+E111</f>
        <v>33.097292250000002</v>
      </c>
      <c r="F112" s="18">
        <f>F110+F111</f>
        <v>33.097292250000002</v>
      </c>
      <c r="G112" s="16">
        <v>1</v>
      </c>
      <c r="H112" s="66"/>
      <c r="I112" s="67">
        <v>14.28</v>
      </c>
      <c r="J112" s="67">
        <f t="shared" si="11"/>
        <v>0</v>
      </c>
      <c r="K112" s="8">
        <f t="shared" si="11"/>
        <v>472.63</v>
      </c>
    </row>
    <row r="113" spans="1:20" ht="15" x14ac:dyDescent="0.2">
      <c r="A113" s="14" t="s">
        <v>304</v>
      </c>
      <c r="B113" s="77" t="s">
        <v>10</v>
      </c>
      <c r="C113" s="15" t="s">
        <v>219</v>
      </c>
      <c r="D113" s="16"/>
      <c r="E113" s="55"/>
      <c r="F113" s="18"/>
      <c r="G113" s="16"/>
      <c r="H113" s="66"/>
      <c r="I113" s="67"/>
      <c r="J113" s="68">
        <f>SUM(J114:J123)</f>
        <v>0</v>
      </c>
      <c r="K113" s="7">
        <f>SUM(K114:K123)</f>
        <v>4369.5100000000011</v>
      </c>
    </row>
    <row r="114" spans="1:20" ht="34.5" customHeight="1" x14ac:dyDescent="0.2">
      <c r="A114" s="24" t="s">
        <v>305</v>
      </c>
      <c r="B114" s="79" t="s">
        <v>166</v>
      </c>
      <c r="C114" s="25" t="s">
        <v>435</v>
      </c>
      <c r="D114" s="26" t="s">
        <v>13</v>
      </c>
      <c r="E114" s="18">
        <v>21.7</v>
      </c>
      <c r="F114" s="18">
        <f>3.62+0.6+7.12+2.04+8.28</f>
        <v>21.659999999999997</v>
      </c>
      <c r="G114" s="16">
        <v>1</v>
      </c>
      <c r="H114" s="71"/>
      <c r="I114" s="67">
        <f>82.59</f>
        <v>82.59</v>
      </c>
      <c r="J114" s="67">
        <f t="shared" ref="J114:J123" si="12">ROUND(E114*H114,2)</f>
        <v>0</v>
      </c>
      <c r="K114" s="8">
        <f t="shared" ref="K114:K123" si="13">ROUND(F114*I114,2)</f>
        <v>1788.9</v>
      </c>
    </row>
    <row r="115" spans="1:20" ht="45" x14ac:dyDescent="0.2">
      <c r="A115" s="24" t="s">
        <v>452</v>
      </c>
      <c r="B115" s="79" t="s">
        <v>394</v>
      </c>
      <c r="C115" s="25" t="s">
        <v>436</v>
      </c>
      <c r="D115" s="26" t="s">
        <v>13</v>
      </c>
      <c r="E115" s="18">
        <f>3*3</f>
        <v>9</v>
      </c>
      <c r="F115" s="18">
        <f>3*3</f>
        <v>9</v>
      </c>
      <c r="G115" s="16">
        <v>1</v>
      </c>
      <c r="H115" s="66"/>
      <c r="I115" s="67">
        <v>79.61</v>
      </c>
      <c r="J115" s="67">
        <f t="shared" si="12"/>
        <v>0</v>
      </c>
      <c r="K115" s="8">
        <f t="shared" si="13"/>
        <v>716.49</v>
      </c>
    </row>
    <row r="116" spans="1:20" ht="45" x14ac:dyDescent="0.2">
      <c r="A116" s="24" t="s">
        <v>306</v>
      </c>
      <c r="B116" s="79" t="s">
        <v>434</v>
      </c>
      <c r="C116" s="25" t="s">
        <v>433</v>
      </c>
      <c r="D116" s="26" t="s">
        <v>101</v>
      </c>
      <c r="E116" s="30">
        <v>3</v>
      </c>
      <c r="F116" s="30">
        <v>3</v>
      </c>
      <c r="G116" s="16">
        <v>1</v>
      </c>
      <c r="H116" s="66"/>
      <c r="I116" s="67">
        <v>69.89</v>
      </c>
      <c r="J116" s="67">
        <f t="shared" si="12"/>
        <v>0</v>
      </c>
      <c r="K116" s="8">
        <f t="shared" si="13"/>
        <v>209.67</v>
      </c>
    </row>
    <row r="117" spans="1:20" ht="30" x14ac:dyDescent="0.2">
      <c r="A117" s="24" t="s">
        <v>307</v>
      </c>
      <c r="B117" s="79" t="s">
        <v>83</v>
      </c>
      <c r="C117" s="25" t="s">
        <v>346</v>
      </c>
      <c r="D117" s="26" t="s">
        <v>62</v>
      </c>
      <c r="E117" s="30">
        <v>3</v>
      </c>
      <c r="F117" s="30">
        <v>3</v>
      </c>
      <c r="G117" s="16">
        <v>1</v>
      </c>
      <c r="H117" s="66"/>
      <c r="I117" s="67">
        <f>396.71333</f>
        <v>396.71332999999998</v>
      </c>
      <c r="J117" s="67">
        <f t="shared" si="12"/>
        <v>0</v>
      </c>
      <c r="K117" s="8">
        <f t="shared" si="13"/>
        <v>1190.1400000000001</v>
      </c>
    </row>
    <row r="118" spans="1:20" ht="30" x14ac:dyDescent="0.2">
      <c r="A118" s="24" t="s">
        <v>308</v>
      </c>
      <c r="B118" s="79" t="s">
        <v>175</v>
      </c>
      <c r="C118" s="25" t="s">
        <v>176</v>
      </c>
      <c r="D118" s="26" t="s">
        <v>76</v>
      </c>
      <c r="E118" s="30">
        <v>3</v>
      </c>
      <c r="F118" s="30">
        <v>3</v>
      </c>
      <c r="G118" s="16">
        <v>1</v>
      </c>
      <c r="H118" s="66"/>
      <c r="I118" s="67">
        <v>31.47</v>
      </c>
      <c r="J118" s="67">
        <f t="shared" si="12"/>
        <v>0</v>
      </c>
      <c r="K118" s="8">
        <f t="shared" si="13"/>
        <v>94.41</v>
      </c>
    </row>
    <row r="119" spans="1:20" ht="30" x14ac:dyDescent="0.2">
      <c r="A119" s="24" t="s">
        <v>309</v>
      </c>
      <c r="B119" s="79" t="s">
        <v>177</v>
      </c>
      <c r="C119" s="25" t="s">
        <v>178</v>
      </c>
      <c r="D119" s="26" t="s">
        <v>76</v>
      </c>
      <c r="E119" s="30">
        <v>3</v>
      </c>
      <c r="F119" s="30">
        <v>3</v>
      </c>
      <c r="G119" s="16">
        <v>1</v>
      </c>
      <c r="H119" s="66"/>
      <c r="I119" s="67">
        <v>56.27</v>
      </c>
      <c r="J119" s="67">
        <f t="shared" si="12"/>
        <v>0</v>
      </c>
      <c r="K119" s="8">
        <f t="shared" si="13"/>
        <v>168.81</v>
      </c>
    </row>
    <row r="120" spans="1:20" ht="30" x14ac:dyDescent="0.2">
      <c r="A120" s="24" t="s">
        <v>310</v>
      </c>
      <c r="B120" s="79" t="s">
        <v>117</v>
      </c>
      <c r="C120" s="25" t="s">
        <v>118</v>
      </c>
      <c r="D120" s="26" t="s">
        <v>62</v>
      </c>
      <c r="E120" s="30">
        <v>2</v>
      </c>
      <c r="F120" s="30">
        <v>2</v>
      </c>
      <c r="G120" s="16">
        <v>1</v>
      </c>
      <c r="H120" s="66"/>
      <c r="I120" s="67">
        <v>10.11</v>
      </c>
      <c r="J120" s="67">
        <f t="shared" si="12"/>
        <v>0</v>
      </c>
      <c r="K120" s="8">
        <f t="shared" si="13"/>
        <v>20.22</v>
      </c>
    </row>
    <row r="121" spans="1:20" ht="30" x14ac:dyDescent="0.2">
      <c r="A121" s="24" t="s">
        <v>311</v>
      </c>
      <c r="B121" s="79" t="s">
        <v>119</v>
      </c>
      <c r="C121" s="25" t="s">
        <v>121</v>
      </c>
      <c r="D121" s="26" t="s">
        <v>120</v>
      </c>
      <c r="E121" s="18">
        <f t="shared" ref="E121:F123" si="14">27.21/200</f>
        <v>0.13605</v>
      </c>
      <c r="F121" s="18">
        <f t="shared" si="14"/>
        <v>0.13605</v>
      </c>
      <c r="G121" s="16">
        <v>1</v>
      </c>
      <c r="H121" s="66"/>
      <c r="I121" s="67">
        <v>43.22</v>
      </c>
      <c r="J121" s="67">
        <f t="shared" si="12"/>
        <v>0</v>
      </c>
      <c r="K121" s="8">
        <f t="shared" si="13"/>
        <v>5.88</v>
      </c>
    </row>
    <row r="122" spans="1:20" ht="30" x14ac:dyDescent="0.2">
      <c r="A122" s="24" t="s">
        <v>312</v>
      </c>
      <c r="B122" s="79" t="s">
        <v>122</v>
      </c>
      <c r="C122" s="25" t="s">
        <v>123</v>
      </c>
      <c r="D122" s="26" t="s">
        <v>120</v>
      </c>
      <c r="E122" s="18">
        <f t="shared" si="14"/>
        <v>0.13605</v>
      </c>
      <c r="F122" s="18">
        <f t="shared" si="14"/>
        <v>0.13605</v>
      </c>
      <c r="G122" s="16">
        <v>1</v>
      </c>
      <c r="H122" s="66"/>
      <c r="I122" s="67">
        <v>171.08</v>
      </c>
      <c r="J122" s="67">
        <f t="shared" si="12"/>
        <v>0</v>
      </c>
      <c r="K122" s="8">
        <f t="shared" si="13"/>
        <v>23.28</v>
      </c>
    </row>
    <row r="123" spans="1:20" ht="30" x14ac:dyDescent="0.2">
      <c r="A123" s="24" t="s">
        <v>313</v>
      </c>
      <c r="B123" s="79" t="s">
        <v>179</v>
      </c>
      <c r="C123" s="25" t="s">
        <v>180</v>
      </c>
      <c r="D123" s="26" t="s">
        <v>125</v>
      </c>
      <c r="E123" s="18">
        <f t="shared" si="14"/>
        <v>0.13605</v>
      </c>
      <c r="F123" s="18">
        <f t="shared" si="14"/>
        <v>0.13605</v>
      </c>
      <c r="G123" s="16">
        <v>1</v>
      </c>
      <c r="H123" s="66"/>
      <c r="I123" s="67">
        <v>1115.1300000000001</v>
      </c>
      <c r="J123" s="67">
        <f t="shared" si="12"/>
        <v>0</v>
      </c>
      <c r="K123" s="8">
        <f t="shared" si="13"/>
        <v>151.71</v>
      </c>
    </row>
    <row r="124" spans="1:20" ht="15" x14ac:dyDescent="0.2">
      <c r="A124" s="19" t="s">
        <v>183</v>
      </c>
      <c r="B124" s="78" t="s">
        <v>7</v>
      </c>
      <c r="C124" s="20" t="s">
        <v>327</v>
      </c>
      <c r="D124" s="21"/>
      <c r="E124" s="56"/>
      <c r="F124" s="23"/>
      <c r="G124" s="21"/>
      <c r="H124" s="66"/>
      <c r="I124" s="68"/>
      <c r="J124" s="68">
        <f>J125</f>
        <v>0</v>
      </c>
      <c r="K124" s="7">
        <f>K125</f>
        <v>3184.8</v>
      </c>
    </row>
    <row r="125" spans="1:20" s="6" customFormat="1" ht="15" x14ac:dyDescent="0.2">
      <c r="A125" s="19" t="s">
        <v>184</v>
      </c>
      <c r="B125" s="78" t="s">
        <v>10</v>
      </c>
      <c r="C125" s="20" t="s">
        <v>325</v>
      </c>
      <c r="D125" s="21" t="s">
        <v>0</v>
      </c>
      <c r="E125" s="56"/>
      <c r="F125" s="36"/>
      <c r="G125" s="21"/>
      <c r="H125" s="66"/>
      <c r="I125" s="68"/>
      <c r="J125" s="68">
        <f>SUM(J126:J127)</f>
        <v>0</v>
      </c>
      <c r="K125" s="7">
        <f>SUM(K126:K127)</f>
        <v>3184.8</v>
      </c>
      <c r="T125" s="51"/>
    </row>
    <row r="126" spans="1:20" ht="30" x14ac:dyDescent="0.2">
      <c r="A126" s="24" t="s">
        <v>186</v>
      </c>
      <c r="B126" s="79" t="s">
        <v>78</v>
      </c>
      <c r="C126" s="25" t="s">
        <v>200</v>
      </c>
      <c r="D126" s="26" t="s">
        <v>193</v>
      </c>
      <c r="E126" s="30">
        <v>1</v>
      </c>
      <c r="F126" s="30">
        <v>1</v>
      </c>
      <c r="G126" s="16">
        <v>1</v>
      </c>
      <c r="H126" s="66"/>
      <c r="I126" s="67">
        <f>0.4*0.4*7500+544.8*0.5</f>
        <v>1472.4</v>
      </c>
      <c r="J126" s="67">
        <f>ROUND(E126*H126,2)</f>
        <v>0</v>
      </c>
      <c r="K126" s="8">
        <f>ROUND(F126*I126,2)</f>
        <v>1472.4</v>
      </c>
    </row>
    <row r="127" spans="1:20" ht="30" x14ac:dyDescent="0.2">
      <c r="A127" s="24" t="s">
        <v>188</v>
      </c>
      <c r="B127" s="79" t="s">
        <v>78</v>
      </c>
      <c r="C127" s="25" t="s">
        <v>202</v>
      </c>
      <c r="D127" s="26" t="s">
        <v>193</v>
      </c>
      <c r="E127" s="30">
        <v>1</v>
      </c>
      <c r="F127" s="30">
        <v>1</v>
      </c>
      <c r="G127" s="16">
        <v>1</v>
      </c>
      <c r="H127" s="66"/>
      <c r="I127" s="67">
        <f>0.4*0.4*9000+544.8*0.5</f>
        <v>1712.4</v>
      </c>
      <c r="J127" s="67">
        <f>ROUND(E127*H127,2)</f>
        <v>0</v>
      </c>
      <c r="K127" s="8">
        <f>ROUND(F127*I127,2)</f>
        <v>1712.4</v>
      </c>
    </row>
    <row r="128" spans="1:20" ht="15" customHeight="1" x14ac:dyDescent="0.2">
      <c r="A128" s="83" t="s">
        <v>330</v>
      </c>
      <c r="B128" s="83"/>
      <c r="C128" s="83"/>
      <c r="D128" s="83"/>
      <c r="E128" s="83"/>
      <c r="F128" s="83"/>
      <c r="G128" s="83"/>
      <c r="H128" s="83"/>
      <c r="I128" s="83"/>
      <c r="J128" s="72">
        <f>J124+J82+J5</f>
        <v>0</v>
      </c>
      <c r="K128" s="9">
        <f>K124+K82+K5</f>
        <v>172421.24000000002</v>
      </c>
      <c r="S128" s="3">
        <v>172421.24</v>
      </c>
    </row>
    <row r="129" spans="1:20" ht="12.75" customHeight="1" x14ac:dyDescent="0.2">
      <c r="A129" s="83" t="s">
        <v>331</v>
      </c>
      <c r="B129" s="83"/>
      <c r="C129" s="83"/>
      <c r="D129" s="83"/>
      <c r="E129" s="83"/>
      <c r="F129" s="83"/>
      <c r="G129" s="83"/>
      <c r="H129" s="83"/>
      <c r="I129" s="83"/>
      <c r="J129" s="72">
        <f>ROUND(J128*23%,2)</f>
        <v>0</v>
      </c>
      <c r="K129" s="9">
        <f>ROUND(K128*23%,2)</f>
        <v>39656.89</v>
      </c>
    </row>
    <row r="130" spans="1:20" ht="12.75" customHeight="1" x14ac:dyDescent="0.2">
      <c r="A130" s="83" t="s">
        <v>332</v>
      </c>
      <c r="B130" s="83"/>
      <c r="C130" s="83"/>
      <c r="D130" s="83"/>
      <c r="E130" s="83"/>
      <c r="F130" s="83"/>
      <c r="G130" s="83"/>
      <c r="H130" s="83"/>
      <c r="I130" s="83"/>
      <c r="J130" s="72">
        <f>J128+J129</f>
        <v>0</v>
      </c>
      <c r="K130" s="9">
        <f>K128+K129</f>
        <v>212078.13</v>
      </c>
      <c r="R130" s="2">
        <f>S128/252000</f>
        <v>0.68421126984126979</v>
      </c>
      <c r="T130" s="52">
        <f>J128-K128</f>
        <v>-172421.24000000002</v>
      </c>
    </row>
    <row r="131" spans="1:20" ht="12.75" customHeight="1" x14ac:dyDescent="0.2"/>
    <row r="132" spans="1:20" ht="12.75" customHeight="1" x14ac:dyDescent="0.2"/>
    <row r="133" spans="1:20" ht="21" x14ac:dyDescent="0.35">
      <c r="A133" s="86" t="s">
        <v>450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</row>
    <row r="134" spans="1:20" ht="21" x14ac:dyDescent="0.35">
      <c r="A134" s="86" t="s">
        <v>451</v>
      </c>
      <c r="B134" s="86"/>
      <c r="C134" s="86"/>
      <c r="D134" s="86"/>
      <c r="E134" s="86"/>
      <c r="F134" s="86"/>
      <c r="G134" s="86"/>
      <c r="H134" s="86"/>
      <c r="I134" s="86"/>
      <c r="J134" s="86"/>
      <c r="K134" s="86"/>
    </row>
    <row r="136" spans="1:20" ht="33.75" x14ac:dyDescent="0.2">
      <c r="A136" s="12" t="s">
        <v>339</v>
      </c>
      <c r="B136" s="76" t="s">
        <v>1</v>
      </c>
      <c r="C136" s="4" t="s">
        <v>2</v>
      </c>
      <c r="D136" s="4" t="s">
        <v>3</v>
      </c>
      <c r="E136" s="13" t="s">
        <v>4</v>
      </c>
      <c r="F136" s="13" t="s">
        <v>4</v>
      </c>
      <c r="G136" s="4" t="s">
        <v>5</v>
      </c>
      <c r="H136" s="65" t="s">
        <v>366</v>
      </c>
      <c r="I136" s="65" t="s">
        <v>366</v>
      </c>
      <c r="J136" s="65" t="s">
        <v>214</v>
      </c>
      <c r="K136" s="4" t="s">
        <v>214</v>
      </c>
    </row>
    <row r="137" spans="1:20" ht="15" x14ac:dyDescent="0.2">
      <c r="A137" s="14" t="s">
        <v>6</v>
      </c>
      <c r="B137" s="77" t="s">
        <v>7</v>
      </c>
      <c r="C137" s="15" t="s">
        <v>9</v>
      </c>
      <c r="D137" s="16"/>
      <c r="E137" s="55"/>
      <c r="F137" s="18"/>
      <c r="G137" s="16"/>
      <c r="H137" s="66"/>
      <c r="I137" s="67"/>
      <c r="J137" s="68">
        <f>J138+J157+J164+J174</f>
        <v>0</v>
      </c>
      <c r="K137" s="7">
        <f>K138+K157+K164+K174</f>
        <v>163343.24</v>
      </c>
    </row>
    <row r="138" spans="1:20" ht="15" x14ac:dyDescent="0.2">
      <c r="A138" s="19" t="s">
        <v>8</v>
      </c>
      <c r="B138" s="78" t="s">
        <v>10</v>
      </c>
      <c r="C138" s="20" t="s">
        <v>378</v>
      </c>
      <c r="D138" s="21"/>
      <c r="E138" s="56"/>
      <c r="F138" s="23"/>
      <c r="G138" s="21"/>
      <c r="H138" s="69"/>
      <c r="I138" s="68"/>
      <c r="J138" s="68">
        <f>SUM(J139:J156)</f>
        <v>0</v>
      </c>
      <c r="K138" s="7">
        <f>SUM(K139:K156)</f>
        <v>9552.2799999999988</v>
      </c>
    </row>
    <row r="139" spans="1:20" ht="30" x14ac:dyDescent="0.2">
      <c r="A139" s="24" t="s">
        <v>11</v>
      </c>
      <c r="B139" s="79" t="s">
        <v>12</v>
      </c>
      <c r="C139" s="25" t="s">
        <v>383</v>
      </c>
      <c r="D139" s="26" t="s">
        <v>13</v>
      </c>
      <c r="E139" s="18">
        <v>8</v>
      </c>
      <c r="F139" s="18">
        <v>8</v>
      </c>
      <c r="G139" s="16">
        <v>1</v>
      </c>
      <c r="H139" s="67"/>
      <c r="I139" s="67">
        <f>0.42857*8.12</f>
        <v>3.4799883999999999</v>
      </c>
      <c r="J139" s="67">
        <f t="shared" ref="J139:J156" si="15">ROUND(E139*H139,2)</f>
        <v>0</v>
      </c>
      <c r="K139" s="8">
        <f t="shared" ref="K139:K156" si="16">ROUND(F139*I139,2)</f>
        <v>27.84</v>
      </c>
    </row>
    <row r="140" spans="1:20" ht="30" x14ac:dyDescent="0.2">
      <c r="A140" s="24" t="s">
        <v>29</v>
      </c>
      <c r="B140" s="80" t="s">
        <v>206</v>
      </c>
      <c r="C140" s="28" t="s">
        <v>207</v>
      </c>
      <c r="D140" s="26" t="s">
        <v>13</v>
      </c>
      <c r="E140" s="18">
        <f>2.5*2+2+7*2</f>
        <v>21</v>
      </c>
      <c r="F140" s="18">
        <f>2.5*2+2+7*2</f>
        <v>21</v>
      </c>
      <c r="G140" s="16">
        <v>1</v>
      </c>
      <c r="H140" s="67"/>
      <c r="I140" s="67">
        <f>0.8636364*6.630789</f>
        <v>5.7265907411196002</v>
      </c>
      <c r="J140" s="67">
        <f t="shared" si="15"/>
        <v>0</v>
      </c>
      <c r="K140" s="8">
        <f t="shared" si="16"/>
        <v>120.26</v>
      </c>
    </row>
    <row r="141" spans="1:20" ht="30" x14ac:dyDescent="0.2">
      <c r="A141" s="24" t="s">
        <v>46</v>
      </c>
      <c r="B141" s="79" t="s">
        <v>359</v>
      </c>
      <c r="C141" s="25" t="s">
        <v>360</v>
      </c>
      <c r="D141" s="26" t="s">
        <v>15</v>
      </c>
      <c r="E141" s="18">
        <f>2.5*2+7*2</f>
        <v>19</v>
      </c>
      <c r="F141" s="18">
        <f>2.5*2+7*2</f>
        <v>19</v>
      </c>
      <c r="G141" s="16">
        <v>5</v>
      </c>
      <c r="H141" s="67"/>
      <c r="I141" s="67">
        <v>45</v>
      </c>
      <c r="J141" s="67">
        <f t="shared" si="15"/>
        <v>0</v>
      </c>
      <c r="K141" s="8">
        <f t="shared" si="16"/>
        <v>855</v>
      </c>
    </row>
    <row r="142" spans="1:20" ht="30" x14ac:dyDescent="0.2">
      <c r="A142" s="24" t="s">
        <v>72</v>
      </c>
      <c r="B142" s="79" t="s">
        <v>357</v>
      </c>
      <c r="C142" s="25" t="s">
        <v>358</v>
      </c>
      <c r="D142" s="26" t="s">
        <v>15</v>
      </c>
      <c r="E142" s="18">
        <f>E141+E143+E146</f>
        <v>65.75</v>
      </c>
      <c r="F142" s="18">
        <f>F141+F143+F146</f>
        <v>65.75</v>
      </c>
      <c r="G142" s="16">
        <v>1</v>
      </c>
      <c r="H142" s="67"/>
      <c r="I142" s="67">
        <v>23.03</v>
      </c>
      <c r="J142" s="67">
        <f t="shared" si="15"/>
        <v>0</v>
      </c>
      <c r="K142" s="8">
        <f t="shared" si="16"/>
        <v>1514.22</v>
      </c>
    </row>
    <row r="143" spans="1:20" ht="38.25" customHeight="1" x14ac:dyDescent="0.2">
      <c r="A143" s="24" t="s">
        <v>129</v>
      </c>
      <c r="B143" s="79" t="s">
        <v>402</v>
      </c>
      <c r="C143" s="25" t="s">
        <v>403</v>
      </c>
      <c r="D143" s="26" t="s">
        <v>15</v>
      </c>
      <c r="E143" s="18">
        <f>13.5*2</f>
        <v>27</v>
      </c>
      <c r="F143" s="18">
        <f>13.5*2</f>
        <v>27</v>
      </c>
      <c r="G143" s="16">
        <v>1</v>
      </c>
      <c r="H143" s="67"/>
      <c r="I143" s="67">
        <v>55.06</v>
      </c>
      <c r="J143" s="67">
        <f t="shared" si="15"/>
        <v>0</v>
      </c>
      <c r="K143" s="8">
        <f t="shared" si="16"/>
        <v>1486.62</v>
      </c>
    </row>
    <row r="144" spans="1:20" ht="39.75" customHeight="1" x14ac:dyDescent="0.2">
      <c r="A144" s="24" t="s">
        <v>221</v>
      </c>
      <c r="B144" s="79" t="s">
        <v>133</v>
      </c>
      <c r="C144" s="25" t="s">
        <v>134</v>
      </c>
      <c r="D144" s="26" t="s">
        <v>15</v>
      </c>
      <c r="E144" s="18">
        <f>E142</f>
        <v>65.75</v>
      </c>
      <c r="F144" s="18">
        <f>F142</f>
        <v>65.75</v>
      </c>
      <c r="G144" s="16">
        <v>1</v>
      </c>
      <c r="H144" s="67"/>
      <c r="I144" s="67">
        <v>16.899999999999999</v>
      </c>
      <c r="J144" s="67">
        <f t="shared" si="15"/>
        <v>0</v>
      </c>
      <c r="K144" s="8">
        <f t="shared" si="16"/>
        <v>1111.18</v>
      </c>
    </row>
    <row r="145" spans="1:11" ht="39" customHeight="1" x14ac:dyDescent="0.2">
      <c r="A145" s="24" t="s">
        <v>222</v>
      </c>
      <c r="B145" s="79" t="s">
        <v>135</v>
      </c>
      <c r="C145" s="25" t="s">
        <v>136</v>
      </c>
      <c r="D145" s="26" t="s">
        <v>15</v>
      </c>
      <c r="E145" s="18">
        <f>E144</f>
        <v>65.75</v>
      </c>
      <c r="F145" s="18">
        <f>F144</f>
        <v>65.75</v>
      </c>
      <c r="G145" s="16">
        <v>10</v>
      </c>
      <c r="H145" s="67"/>
      <c r="I145" s="67">
        <v>7.6</v>
      </c>
      <c r="J145" s="67">
        <f t="shared" si="15"/>
        <v>0</v>
      </c>
      <c r="K145" s="8">
        <f t="shared" si="16"/>
        <v>499.7</v>
      </c>
    </row>
    <row r="146" spans="1:11" ht="32.25" customHeight="1" x14ac:dyDescent="0.2">
      <c r="A146" s="24" t="s">
        <v>336</v>
      </c>
      <c r="B146" s="79" t="s">
        <v>20</v>
      </c>
      <c r="C146" s="25" t="s">
        <v>21</v>
      </c>
      <c r="D146" s="26" t="s">
        <v>15</v>
      </c>
      <c r="E146" s="18">
        <f>5*1.5+2*1.5*2+2.5*2.5</f>
        <v>19.75</v>
      </c>
      <c r="F146" s="18">
        <f>5*1.5+2*1.5*2+2.5*2.5</f>
        <v>19.75</v>
      </c>
      <c r="G146" s="16">
        <v>1</v>
      </c>
      <c r="H146" s="67"/>
      <c r="I146" s="67">
        <v>16.600000000000001</v>
      </c>
      <c r="J146" s="67">
        <f t="shared" si="15"/>
        <v>0</v>
      </c>
      <c r="K146" s="8">
        <f t="shared" si="16"/>
        <v>327.85</v>
      </c>
    </row>
    <row r="147" spans="1:11" ht="49.5" customHeight="1" x14ac:dyDescent="0.2">
      <c r="A147" s="24" t="s">
        <v>370</v>
      </c>
      <c r="B147" s="79" t="s">
        <v>374</v>
      </c>
      <c r="C147" s="25" t="s">
        <v>375</v>
      </c>
      <c r="D147" s="26" t="s">
        <v>15</v>
      </c>
      <c r="E147" s="18">
        <f>E146</f>
        <v>19.75</v>
      </c>
      <c r="F147" s="18">
        <f>F146</f>
        <v>19.75</v>
      </c>
      <c r="G147" s="16">
        <v>1</v>
      </c>
      <c r="H147" s="67"/>
      <c r="I147" s="67">
        <v>38.049999999999997</v>
      </c>
      <c r="J147" s="67">
        <f t="shared" si="15"/>
        <v>0</v>
      </c>
      <c r="K147" s="8">
        <f t="shared" si="16"/>
        <v>751.49</v>
      </c>
    </row>
    <row r="148" spans="1:11" ht="41.25" customHeight="1" x14ac:dyDescent="0.2">
      <c r="A148" s="24" t="s">
        <v>373</v>
      </c>
      <c r="B148" s="79" t="s">
        <v>131</v>
      </c>
      <c r="C148" s="25" t="s">
        <v>132</v>
      </c>
      <c r="D148" s="26" t="s">
        <v>15</v>
      </c>
      <c r="E148" s="18">
        <v>5</v>
      </c>
      <c r="F148" s="18">
        <v>5</v>
      </c>
      <c r="G148" s="16">
        <v>1</v>
      </c>
      <c r="H148" s="67"/>
      <c r="I148" s="67">
        <v>17.23</v>
      </c>
      <c r="J148" s="67">
        <f t="shared" si="15"/>
        <v>0</v>
      </c>
      <c r="K148" s="8">
        <f t="shared" si="16"/>
        <v>86.15</v>
      </c>
    </row>
    <row r="149" spans="1:11" ht="41.25" customHeight="1" x14ac:dyDescent="0.2">
      <c r="A149" s="24" t="s">
        <v>467</v>
      </c>
      <c r="B149" s="79" t="s">
        <v>137</v>
      </c>
      <c r="C149" s="25" t="s">
        <v>468</v>
      </c>
      <c r="D149" s="26" t="s">
        <v>15</v>
      </c>
      <c r="E149" s="18">
        <v>19</v>
      </c>
      <c r="F149" s="18"/>
      <c r="G149" s="16">
        <v>1</v>
      </c>
      <c r="H149" s="66"/>
      <c r="I149" s="67"/>
      <c r="J149" s="67">
        <f t="shared" si="15"/>
        <v>0</v>
      </c>
      <c r="K149" s="8"/>
    </row>
    <row r="150" spans="1:11" ht="45" x14ac:dyDescent="0.2">
      <c r="A150" s="24" t="s">
        <v>376</v>
      </c>
      <c r="B150" s="79" t="s">
        <v>137</v>
      </c>
      <c r="C150" s="25" t="s">
        <v>138</v>
      </c>
      <c r="D150" s="26" t="s">
        <v>15</v>
      </c>
      <c r="E150" s="18">
        <f>E141</f>
        <v>19</v>
      </c>
      <c r="F150" s="18">
        <f>F141</f>
        <v>19</v>
      </c>
      <c r="G150" s="16">
        <v>2</v>
      </c>
      <c r="H150" s="67"/>
      <c r="I150" s="67">
        <v>15.9</v>
      </c>
      <c r="J150" s="67">
        <f t="shared" si="15"/>
        <v>0</v>
      </c>
      <c r="K150" s="8">
        <f t="shared" si="16"/>
        <v>302.10000000000002</v>
      </c>
    </row>
    <row r="151" spans="1:11" ht="33.75" customHeight="1" x14ac:dyDescent="0.2">
      <c r="A151" s="24" t="s">
        <v>377</v>
      </c>
      <c r="B151" s="79" t="s">
        <v>139</v>
      </c>
      <c r="C151" s="25" t="s">
        <v>140</v>
      </c>
      <c r="D151" s="26" t="s">
        <v>15</v>
      </c>
      <c r="E151" s="18">
        <f>E150</f>
        <v>19</v>
      </c>
      <c r="F151" s="18">
        <f>F150</f>
        <v>19</v>
      </c>
      <c r="G151" s="16">
        <v>1</v>
      </c>
      <c r="H151" s="67"/>
      <c r="I151" s="67">
        <f>32.37*1.5</f>
        <v>48.554999999999993</v>
      </c>
      <c r="J151" s="67">
        <f t="shared" si="15"/>
        <v>0</v>
      </c>
      <c r="K151" s="8">
        <f t="shared" si="16"/>
        <v>922.55</v>
      </c>
    </row>
    <row r="152" spans="1:11" ht="45" x14ac:dyDescent="0.2">
      <c r="A152" s="24" t="s">
        <v>379</v>
      </c>
      <c r="B152" s="79" t="s">
        <v>141</v>
      </c>
      <c r="C152" s="25" t="s">
        <v>142</v>
      </c>
      <c r="D152" s="26" t="s">
        <v>15</v>
      </c>
      <c r="E152" s="18">
        <f>E150</f>
        <v>19</v>
      </c>
      <c r="F152" s="18">
        <f>F150</f>
        <v>19</v>
      </c>
      <c r="G152" s="16">
        <v>3</v>
      </c>
      <c r="H152" s="67"/>
      <c r="I152" s="67">
        <f>32.36</f>
        <v>32.36</v>
      </c>
      <c r="J152" s="67">
        <f t="shared" si="15"/>
        <v>0</v>
      </c>
      <c r="K152" s="8">
        <f t="shared" si="16"/>
        <v>614.84</v>
      </c>
    </row>
    <row r="153" spans="1:11" ht="30" x14ac:dyDescent="0.2">
      <c r="A153" s="24" t="s">
        <v>380</v>
      </c>
      <c r="B153" s="79" t="s">
        <v>147</v>
      </c>
      <c r="C153" s="25" t="s">
        <v>148</v>
      </c>
      <c r="D153" s="26" t="s">
        <v>13</v>
      </c>
      <c r="E153" s="18">
        <v>6</v>
      </c>
      <c r="F153" s="18">
        <v>6</v>
      </c>
      <c r="G153" s="16">
        <v>1</v>
      </c>
      <c r="H153" s="67"/>
      <c r="I153" s="67">
        <v>49.16</v>
      </c>
      <c r="J153" s="67">
        <f t="shared" si="15"/>
        <v>0</v>
      </c>
      <c r="K153" s="8">
        <f t="shared" si="16"/>
        <v>294.95999999999998</v>
      </c>
    </row>
    <row r="154" spans="1:11" ht="30" x14ac:dyDescent="0.2">
      <c r="A154" s="24" t="s">
        <v>381</v>
      </c>
      <c r="B154" s="79" t="s">
        <v>149</v>
      </c>
      <c r="C154" s="25" t="s">
        <v>150</v>
      </c>
      <c r="D154" s="26" t="s">
        <v>13</v>
      </c>
      <c r="E154" s="18">
        <v>2</v>
      </c>
      <c r="F154" s="18">
        <v>2</v>
      </c>
      <c r="G154" s="16">
        <v>1</v>
      </c>
      <c r="H154" s="67"/>
      <c r="I154" s="67">
        <v>19.260000000000002</v>
      </c>
      <c r="J154" s="67">
        <f t="shared" si="15"/>
        <v>0</v>
      </c>
      <c r="K154" s="8">
        <f t="shared" si="16"/>
        <v>38.520000000000003</v>
      </c>
    </row>
    <row r="155" spans="1:11" ht="45" x14ac:dyDescent="0.2">
      <c r="A155" s="24" t="s">
        <v>382</v>
      </c>
      <c r="B155" s="79" t="s">
        <v>24</v>
      </c>
      <c r="C155" s="25" t="s">
        <v>26</v>
      </c>
      <c r="D155" s="26" t="s">
        <v>25</v>
      </c>
      <c r="E155" s="18">
        <f>E141*0.1+E142*0.3+E143*0.12</f>
        <v>24.864999999999995</v>
      </c>
      <c r="F155" s="18">
        <f>F141*0.1+F142*0.3+F143*0.12</f>
        <v>24.864999999999995</v>
      </c>
      <c r="G155" s="16">
        <v>1</v>
      </c>
      <c r="H155" s="67"/>
      <c r="I155" s="67">
        <v>16.989999999999998</v>
      </c>
      <c r="J155" s="67">
        <f t="shared" si="15"/>
        <v>0</v>
      </c>
      <c r="K155" s="8">
        <f t="shared" si="16"/>
        <v>422.46</v>
      </c>
    </row>
    <row r="156" spans="1:11" ht="50.25" customHeight="1" x14ac:dyDescent="0.2">
      <c r="A156" s="24" t="s">
        <v>384</v>
      </c>
      <c r="B156" s="79" t="s">
        <v>27</v>
      </c>
      <c r="C156" s="25" t="s">
        <v>28</v>
      </c>
      <c r="D156" s="26" t="s">
        <v>25</v>
      </c>
      <c r="E156" s="18">
        <f>E155</f>
        <v>24.864999999999995</v>
      </c>
      <c r="F156" s="18">
        <f>F155</f>
        <v>24.864999999999995</v>
      </c>
      <c r="G156" s="16">
        <v>2</v>
      </c>
      <c r="H156" s="67"/>
      <c r="I156" s="67">
        <v>7.1</v>
      </c>
      <c r="J156" s="67">
        <f t="shared" si="15"/>
        <v>0</v>
      </c>
      <c r="K156" s="8">
        <f t="shared" si="16"/>
        <v>176.54</v>
      </c>
    </row>
    <row r="157" spans="1:11" ht="15" x14ac:dyDescent="0.2">
      <c r="A157" s="14" t="s">
        <v>224</v>
      </c>
      <c r="B157" s="77" t="s">
        <v>10</v>
      </c>
      <c r="C157" s="15" t="s">
        <v>30</v>
      </c>
      <c r="D157" s="16"/>
      <c r="E157" s="55"/>
      <c r="F157" s="18"/>
      <c r="G157" s="16"/>
      <c r="H157" s="66"/>
      <c r="I157" s="67"/>
      <c r="J157" s="68">
        <f>SUM(J158:J163)</f>
        <v>0</v>
      </c>
      <c r="K157" s="7">
        <f>SUM(K158:K163)</f>
        <v>18415.150000000001</v>
      </c>
    </row>
    <row r="158" spans="1:11" ht="30" x14ac:dyDescent="0.2">
      <c r="A158" s="24" t="s">
        <v>223</v>
      </c>
      <c r="B158" s="79" t="s">
        <v>31</v>
      </c>
      <c r="C158" s="25" t="s">
        <v>33</v>
      </c>
      <c r="D158" s="26" t="s">
        <v>32</v>
      </c>
      <c r="E158" s="58">
        <f>263/1000</f>
        <v>0.26300000000000001</v>
      </c>
      <c r="F158" s="29">
        <f>(13.6+19.59+55.43+0.85+10.7+148.61+2.8)/1000</f>
        <v>0.25158000000000003</v>
      </c>
      <c r="G158" s="16">
        <v>1</v>
      </c>
      <c r="H158" s="67"/>
      <c r="I158" s="67">
        <v>2651.36</v>
      </c>
      <c r="J158" s="67">
        <f t="shared" ref="J158:K163" si="17">ROUND(E158*H158,2)</f>
        <v>0</v>
      </c>
      <c r="K158" s="8">
        <f t="shared" si="17"/>
        <v>667.03</v>
      </c>
    </row>
    <row r="159" spans="1:11" ht="45" x14ac:dyDescent="0.2">
      <c r="A159" s="24" t="s">
        <v>225</v>
      </c>
      <c r="B159" s="79" t="s">
        <v>34</v>
      </c>
      <c r="C159" s="25" t="s">
        <v>404</v>
      </c>
      <c r="D159" s="26" t="s">
        <v>25</v>
      </c>
      <c r="E159" s="18">
        <f>((10.7+13.2+15.9)*1*1.8+2.5*2.5*1.8+5*1.5*1.8+2*1.5*1.8*2+2*2*1.8-$E$161-$E$156)*80%</f>
        <v>65.25200000000001</v>
      </c>
      <c r="F159" s="18">
        <f>((10.7+14.43+(148.61-75.44+2.8))*1*1.8+2.5*2.5*1.8+5*1.5*1.8+2*1.5*1.8*2+2*2*1.8-$F$161-$F$156)*80%</f>
        <v>143.71600000000004</v>
      </c>
      <c r="G159" s="16">
        <v>1</v>
      </c>
      <c r="H159" s="67"/>
      <c r="I159" s="67">
        <v>40.46</v>
      </c>
      <c r="J159" s="67">
        <f t="shared" si="17"/>
        <v>0</v>
      </c>
      <c r="K159" s="8">
        <f t="shared" si="17"/>
        <v>5814.75</v>
      </c>
    </row>
    <row r="160" spans="1:11" ht="45" x14ac:dyDescent="0.2">
      <c r="A160" s="24" t="s">
        <v>226</v>
      </c>
      <c r="B160" s="79" t="s">
        <v>36</v>
      </c>
      <c r="C160" s="25" t="s">
        <v>37</v>
      </c>
      <c r="D160" s="26" t="s">
        <v>25</v>
      </c>
      <c r="E160" s="18">
        <f>E165+3.14*0.08^2*13.2+3.14*0.1^2*10.7</f>
        <v>7.96</v>
      </c>
      <c r="F160" s="18">
        <f>F165+3.14*0.08^2*14.43+3.14*0.1^2*10.7</f>
        <v>20.220000000000002</v>
      </c>
      <c r="G160" s="16">
        <v>1</v>
      </c>
      <c r="H160" s="67"/>
      <c r="I160" s="67">
        <v>45.97</v>
      </c>
      <c r="J160" s="67">
        <f t="shared" si="17"/>
        <v>0</v>
      </c>
      <c r="K160" s="8">
        <f t="shared" si="17"/>
        <v>929.51</v>
      </c>
    </row>
    <row r="161" spans="1:11" ht="60" x14ac:dyDescent="0.2">
      <c r="A161" s="24" t="s">
        <v>227</v>
      </c>
      <c r="B161" s="79" t="s">
        <v>38</v>
      </c>
      <c r="C161" s="25" t="s">
        <v>39</v>
      </c>
      <c r="D161" s="26" t="s">
        <v>25</v>
      </c>
      <c r="E161" s="18">
        <f>E160</f>
        <v>7.96</v>
      </c>
      <c r="F161" s="18">
        <f>F160</f>
        <v>20.220000000000002</v>
      </c>
      <c r="G161" s="16">
        <v>2</v>
      </c>
      <c r="H161" s="67"/>
      <c r="I161" s="67">
        <v>8.5299999999999994</v>
      </c>
      <c r="J161" s="67">
        <f t="shared" si="17"/>
        <v>0</v>
      </c>
      <c r="K161" s="8">
        <f t="shared" si="17"/>
        <v>172.48</v>
      </c>
    </row>
    <row r="162" spans="1:11" ht="49.5" customHeight="1" x14ac:dyDescent="0.2">
      <c r="A162" s="24" t="s">
        <v>228</v>
      </c>
      <c r="B162" s="79" t="s">
        <v>40</v>
      </c>
      <c r="C162" s="25" t="s">
        <v>41</v>
      </c>
      <c r="D162" s="26" t="s">
        <v>25</v>
      </c>
      <c r="E162" s="18">
        <f>((10.7+13.2+15.9)*1*1.8+2.5*2.5*1.8+5*1.5*1.8+2*1.5*1.8*2+2*2*1.8-$E$161-$E$156)*20%</f>
        <v>16.313000000000002</v>
      </c>
      <c r="F162" s="18">
        <f>((10.7+14.43+(148.61-75.44+2.8))*1*1.8+2.5*2.5*1.8+5*1.5*1.8+2*1.5*1.8*2+2*2*1.8-$F$161-$F$156)*20%</f>
        <v>35.929000000000009</v>
      </c>
      <c r="G162" s="16">
        <v>1</v>
      </c>
      <c r="H162" s="67"/>
      <c r="I162" s="67">
        <v>170.78</v>
      </c>
      <c r="J162" s="67">
        <f t="shared" si="17"/>
        <v>0</v>
      </c>
      <c r="K162" s="8">
        <f t="shared" si="17"/>
        <v>6135.95</v>
      </c>
    </row>
    <row r="163" spans="1:11" ht="66" customHeight="1" x14ac:dyDescent="0.2">
      <c r="A163" s="24" t="s">
        <v>229</v>
      </c>
      <c r="B163" s="79" t="s">
        <v>42</v>
      </c>
      <c r="C163" s="25" t="s">
        <v>43</v>
      </c>
      <c r="D163" s="26" t="s">
        <v>15</v>
      </c>
      <c r="E163" s="18">
        <f>(10.7+13.9+15.9)*1.8*2+2.5*1.8*4+(5+1.5)*1.8*2+(2+1.5)*1.8*2+(2+2)*1.8*2</f>
        <v>214.20000000000002</v>
      </c>
      <c r="F163" s="18">
        <f>(10.7+14.43+(148.61-75.44+2.8))*1.8*2+2.5*1.8*4+(5+1.5)*1.8*2+(2+1.5)*1.8*2+(2+2)*1.8*2</f>
        <v>432.36</v>
      </c>
      <c r="G163" s="16">
        <v>1</v>
      </c>
      <c r="H163" s="67"/>
      <c r="I163" s="67">
        <v>10.86</v>
      </c>
      <c r="J163" s="67">
        <f t="shared" si="17"/>
        <v>0</v>
      </c>
      <c r="K163" s="8">
        <f t="shared" si="17"/>
        <v>4695.43</v>
      </c>
    </row>
    <row r="164" spans="1:11" ht="15" x14ac:dyDescent="0.2">
      <c r="A164" s="19" t="s">
        <v>231</v>
      </c>
      <c r="B164" s="78" t="s">
        <v>10</v>
      </c>
      <c r="C164" s="20" t="s">
        <v>220</v>
      </c>
      <c r="D164" s="21"/>
      <c r="E164" s="56"/>
      <c r="F164" s="23"/>
      <c r="G164" s="21"/>
      <c r="H164" s="69"/>
      <c r="I164" s="68"/>
      <c r="J164" s="68">
        <f>SUM(J165:J173)</f>
        <v>0</v>
      </c>
      <c r="K164" s="7">
        <f>SUM(K165:K173)</f>
        <v>12622.88</v>
      </c>
    </row>
    <row r="165" spans="1:11" ht="30" x14ac:dyDescent="0.2">
      <c r="A165" s="24" t="s">
        <v>232</v>
      </c>
      <c r="B165" s="79" t="s">
        <v>48</v>
      </c>
      <c r="C165" s="25" t="s">
        <v>49</v>
      </c>
      <c r="D165" s="26" t="s">
        <v>25</v>
      </c>
      <c r="E165" s="18">
        <f>(13.2+10.7+15.9)*1*0.2-3.14*0.08^2*13.2-3.14*0.1^2*10.7</f>
        <v>7.3587527999999995</v>
      </c>
      <c r="F165" s="18">
        <f>(14.43+10.7+(148.61-75.44+2.8))*1*0.2-3.14*0.08^2*14.43-3.14*0.1^2*10.7</f>
        <v>19.594034720000003</v>
      </c>
      <c r="G165" s="16">
        <v>1</v>
      </c>
      <c r="H165" s="67"/>
      <c r="I165" s="67">
        <v>161.53</v>
      </c>
      <c r="J165" s="67">
        <f t="shared" ref="J165:J173" si="18">ROUND(E165*H165,2)</f>
        <v>0</v>
      </c>
      <c r="K165" s="8">
        <f t="shared" ref="K165:K173" si="19">ROUND(F165*I165,2)</f>
        <v>3165.02</v>
      </c>
    </row>
    <row r="166" spans="1:11" ht="45" x14ac:dyDescent="0.2">
      <c r="A166" s="24" t="s">
        <v>233</v>
      </c>
      <c r="B166" s="79" t="s">
        <v>50</v>
      </c>
      <c r="C166" s="25" t="s">
        <v>51</v>
      </c>
      <c r="D166" s="26" t="s">
        <v>25</v>
      </c>
      <c r="E166" s="18">
        <f>E165</f>
        <v>7.3587527999999995</v>
      </c>
      <c r="F166" s="18">
        <f>F165</f>
        <v>19.594034720000003</v>
      </c>
      <c r="G166" s="16">
        <v>1</v>
      </c>
      <c r="H166" s="67"/>
      <c r="I166" s="67">
        <v>43.94</v>
      </c>
      <c r="J166" s="67">
        <f t="shared" si="18"/>
        <v>0</v>
      </c>
      <c r="K166" s="8">
        <f t="shared" si="19"/>
        <v>860.96</v>
      </c>
    </row>
    <row r="167" spans="1:11" ht="30" x14ac:dyDescent="0.2">
      <c r="A167" s="24" t="s">
        <v>234</v>
      </c>
      <c r="B167" s="79" t="s">
        <v>52</v>
      </c>
      <c r="C167" s="25" t="s">
        <v>53</v>
      </c>
      <c r="D167" s="26" t="s">
        <v>25</v>
      </c>
      <c r="E167" s="18">
        <f>E166+E168</f>
        <v>88.923752800000017</v>
      </c>
      <c r="F167" s="18">
        <f>F166+F168</f>
        <v>199.23903472000003</v>
      </c>
      <c r="G167" s="16">
        <v>1</v>
      </c>
      <c r="H167" s="67"/>
      <c r="I167" s="67">
        <v>14.28</v>
      </c>
      <c r="J167" s="67">
        <f t="shared" si="18"/>
        <v>0</v>
      </c>
      <c r="K167" s="8">
        <f t="shared" si="19"/>
        <v>2845.13</v>
      </c>
    </row>
    <row r="168" spans="1:11" ht="45" x14ac:dyDescent="0.2">
      <c r="A168" s="24" t="s">
        <v>235</v>
      </c>
      <c r="B168" s="79" t="s">
        <v>54</v>
      </c>
      <c r="C168" s="25" t="s">
        <v>55</v>
      </c>
      <c r="D168" s="26" t="s">
        <v>25</v>
      </c>
      <c r="E168" s="18">
        <f>E159+E162</f>
        <v>81.565000000000012</v>
      </c>
      <c r="F168" s="18">
        <f>F159+F162</f>
        <v>179.64500000000004</v>
      </c>
      <c r="G168" s="16">
        <v>1</v>
      </c>
      <c r="H168" s="67"/>
      <c r="I168" s="67">
        <f>9.49</f>
        <v>9.49</v>
      </c>
      <c r="J168" s="67">
        <f t="shared" si="18"/>
        <v>0</v>
      </c>
      <c r="K168" s="8">
        <f t="shared" si="19"/>
        <v>1704.83</v>
      </c>
    </row>
    <row r="169" spans="1:11" ht="30" x14ac:dyDescent="0.2">
      <c r="A169" s="24" t="s">
        <v>238</v>
      </c>
      <c r="B169" s="79" t="s">
        <v>61</v>
      </c>
      <c r="C169" s="25" t="s">
        <v>63</v>
      </c>
      <c r="D169" s="26" t="s">
        <v>62</v>
      </c>
      <c r="E169" s="30">
        <v>1</v>
      </c>
      <c r="F169" s="30">
        <f>3+4</f>
        <v>7</v>
      </c>
      <c r="G169" s="16">
        <v>1</v>
      </c>
      <c r="H169" s="67"/>
      <c r="I169" s="67">
        <v>286.57</v>
      </c>
      <c r="J169" s="67">
        <f t="shared" si="18"/>
        <v>0</v>
      </c>
      <c r="K169" s="8">
        <f t="shared" si="19"/>
        <v>2005.99</v>
      </c>
    </row>
    <row r="170" spans="1:11" ht="30" x14ac:dyDescent="0.2">
      <c r="A170" s="24" t="s">
        <v>239</v>
      </c>
      <c r="B170" s="79" t="s">
        <v>64</v>
      </c>
      <c r="C170" s="25" t="s">
        <v>65</v>
      </c>
      <c r="D170" s="26" t="s">
        <v>62</v>
      </c>
      <c r="E170" s="30">
        <v>1</v>
      </c>
      <c r="F170" s="30">
        <f>F169</f>
        <v>7</v>
      </c>
      <c r="G170" s="16">
        <v>1</v>
      </c>
      <c r="H170" s="67"/>
      <c r="I170" s="67">
        <v>179.53</v>
      </c>
      <c r="J170" s="67">
        <f t="shared" si="18"/>
        <v>0</v>
      </c>
      <c r="K170" s="8">
        <f t="shared" si="19"/>
        <v>1256.71</v>
      </c>
    </row>
    <row r="171" spans="1:11" ht="45" x14ac:dyDescent="0.2">
      <c r="A171" s="24" t="s">
        <v>240</v>
      </c>
      <c r="B171" s="79" t="s">
        <v>66</v>
      </c>
      <c r="C171" s="25" t="s">
        <v>67</v>
      </c>
      <c r="D171" s="26" t="s">
        <v>62</v>
      </c>
      <c r="E171" s="30">
        <f>1+3</f>
        <v>4</v>
      </c>
      <c r="F171" s="30">
        <f>1+3</f>
        <v>4</v>
      </c>
      <c r="G171" s="16">
        <v>1</v>
      </c>
      <c r="H171" s="67"/>
      <c r="I171" s="67">
        <v>79.23</v>
      </c>
      <c r="J171" s="67">
        <f t="shared" si="18"/>
        <v>0</v>
      </c>
      <c r="K171" s="8">
        <f t="shared" si="19"/>
        <v>316.92</v>
      </c>
    </row>
    <row r="172" spans="1:11" ht="45" x14ac:dyDescent="0.2">
      <c r="A172" s="24" t="s">
        <v>241</v>
      </c>
      <c r="B172" s="79" t="s">
        <v>68</v>
      </c>
      <c r="C172" s="25" t="s">
        <v>69</v>
      </c>
      <c r="D172" s="26" t="s">
        <v>62</v>
      </c>
      <c r="E172" s="30">
        <f>E171</f>
        <v>4</v>
      </c>
      <c r="F172" s="30">
        <f>F171</f>
        <v>4</v>
      </c>
      <c r="G172" s="16">
        <v>1</v>
      </c>
      <c r="H172" s="67"/>
      <c r="I172" s="67">
        <v>68.680000000000007</v>
      </c>
      <c r="J172" s="67">
        <f t="shared" si="18"/>
        <v>0</v>
      </c>
      <c r="K172" s="8">
        <f t="shared" si="19"/>
        <v>274.72000000000003</v>
      </c>
    </row>
    <row r="173" spans="1:11" ht="30" x14ac:dyDescent="0.2">
      <c r="A173" s="24" t="s">
        <v>242</v>
      </c>
      <c r="B173" s="79" t="s">
        <v>70</v>
      </c>
      <c r="C173" s="25" t="s">
        <v>71</v>
      </c>
      <c r="D173" s="26" t="s">
        <v>13</v>
      </c>
      <c r="E173" s="18">
        <f>E172*1.1</f>
        <v>4.4000000000000004</v>
      </c>
      <c r="F173" s="18">
        <f>F172*1.5</f>
        <v>6</v>
      </c>
      <c r="G173" s="16">
        <v>1</v>
      </c>
      <c r="H173" s="67"/>
      <c r="I173" s="67">
        <v>32.1</v>
      </c>
      <c r="J173" s="67">
        <f t="shared" si="18"/>
        <v>0</v>
      </c>
      <c r="K173" s="8">
        <f t="shared" si="19"/>
        <v>192.6</v>
      </c>
    </row>
    <row r="174" spans="1:11" ht="15" x14ac:dyDescent="0.2">
      <c r="A174" s="19" t="s">
        <v>243</v>
      </c>
      <c r="B174" s="78" t="s">
        <v>10</v>
      </c>
      <c r="C174" s="20" t="s">
        <v>428</v>
      </c>
      <c r="D174" s="21"/>
      <c r="E174" s="56"/>
      <c r="F174" s="23"/>
      <c r="G174" s="21"/>
      <c r="H174" s="69"/>
      <c r="I174" s="68"/>
      <c r="J174" s="68">
        <f>SUM(J175:J206)</f>
        <v>0</v>
      </c>
      <c r="K174" s="7">
        <f>SUM(K175:K206)</f>
        <v>122752.93000000001</v>
      </c>
    </row>
    <row r="175" spans="1:11" ht="20.25" customHeight="1" x14ac:dyDescent="0.2">
      <c r="A175" s="24" t="s">
        <v>244</v>
      </c>
      <c r="B175" s="79" t="s">
        <v>413</v>
      </c>
      <c r="C175" s="25" t="s">
        <v>414</v>
      </c>
      <c r="D175" s="26" t="s">
        <v>13</v>
      </c>
      <c r="E175" s="57">
        <f>E180+E181+E182</f>
        <v>39.4</v>
      </c>
      <c r="F175" s="18">
        <f>F180+F181+F182-F191-F192</f>
        <v>103.60000000000002</v>
      </c>
      <c r="G175" s="16">
        <v>1</v>
      </c>
      <c r="H175" s="67"/>
      <c r="I175" s="67">
        <v>14.46</v>
      </c>
      <c r="J175" s="67">
        <f t="shared" ref="J175:J206" si="20">ROUND(E175*H175,2)</f>
        <v>0</v>
      </c>
      <c r="K175" s="8">
        <f>ROUND(F175*I175,2)+1.01</f>
        <v>1499.07</v>
      </c>
    </row>
    <row r="176" spans="1:11" ht="30.75" customHeight="1" x14ac:dyDescent="0.2">
      <c r="A176" s="24" t="s">
        <v>245</v>
      </c>
      <c r="B176" s="79" t="s">
        <v>425</v>
      </c>
      <c r="C176" s="25" t="s">
        <v>426</v>
      </c>
      <c r="D176" s="26" t="s">
        <v>76</v>
      </c>
      <c r="E176" s="59">
        <v>5</v>
      </c>
      <c r="F176" s="30">
        <v>5</v>
      </c>
      <c r="G176" s="16">
        <v>1</v>
      </c>
      <c r="H176" s="67"/>
      <c r="I176" s="67">
        <v>84.36</v>
      </c>
      <c r="J176" s="67">
        <f t="shared" si="20"/>
        <v>0</v>
      </c>
      <c r="K176" s="8">
        <f t="shared" ref="K176:K206" si="21">ROUND(F176*I176,2)</f>
        <v>421.8</v>
      </c>
    </row>
    <row r="177" spans="1:22" ht="34.5" customHeight="1" x14ac:dyDescent="0.2">
      <c r="A177" s="24" t="s">
        <v>246</v>
      </c>
      <c r="B177" s="79" t="s">
        <v>208</v>
      </c>
      <c r="C177" s="25" t="s">
        <v>411</v>
      </c>
      <c r="D177" s="26" t="s">
        <v>62</v>
      </c>
      <c r="E177" s="59">
        <v>1</v>
      </c>
      <c r="F177" s="30">
        <v>1</v>
      </c>
      <c r="G177" s="16">
        <v>1</v>
      </c>
      <c r="H177" s="67"/>
      <c r="I177" s="67">
        <v>560</v>
      </c>
      <c r="J177" s="67">
        <f t="shared" si="20"/>
        <v>0</v>
      </c>
      <c r="K177" s="8">
        <f t="shared" si="21"/>
        <v>560</v>
      </c>
    </row>
    <row r="178" spans="1:22" ht="30" customHeight="1" x14ac:dyDescent="0.2">
      <c r="A178" s="24" t="s">
        <v>247</v>
      </c>
      <c r="B178" s="79" t="s">
        <v>79</v>
      </c>
      <c r="C178" s="25" t="s">
        <v>80</v>
      </c>
      <c r="D178" s="26" t="s">
        <v>62</v>
      </c>
      <c r="E178" s="59">
        <v>1</v>
      </c>
      <c r="F178" s="30">
        <v>1</v>
      </c>
      <c r="G178" s="16">
        <v>1</v>
      </c>
      <c r="H178" s="67"/>
      <c r="I178" s="67">
        <f>1.1*2147.04</f>
        <v>2361.7440000000001</v>
      </c>
      <c r="J178" s="67">
        <f t="shared" si="20"/>
        <v>0</v>
      </c>
      <c r="K178" s="8">
        <f t="shared" si="21"/>
        <v>2361.7399999999998</v>
      </c>
    </row>
    <row r="179" spans="1:22" ht="30" x14ac:dyDescent="0.2">
      <c r="A179" s="24" t="s">
        <v>248</v>
      </c>
      <c r="B179" s="79" t="s">
        <v>415</v>
      </c>
      <c r="C179" s="25" t="s">
        <v>416</v>
      </c>
      <c r="D179" s="26" t="s">
        <v>62</v>
      </c>
      <c r="E179" s="59">
        <v>3</v>
      </c>
      <c r="F179" s="30">
        <f>2+1</f>
        <v>3</v>
      </c>
      <c r="G179" s="16">
        <v>1</v>
      </c>
      <c r="H179" s="67"/>
      <c r="I179" s="67">
        <v>2954.01</v>
      </c>
      <c r="J179" s="67">
        <f t="shared" si="20"/>
        <v>0</v>
      </c>
      <c r="K179" s="8">
        <f t="shared" si="21"/>
        <v>8862.0300000000007</v>
      </c>
    </row>
    <row r="180" spans="1:22" ht="30" customHeight="1" x14ac:dyDescent="0.2">
      <c r="A180" s="24" t="s">
        <v>250</v>
      </c>
      <c r="B180" s="79" t="s">
        <v>84</v>
      </c>
      <c r="C180" s="25" t="s">
        <v>85</v>
      </c>
      <c r="D180" s="26" t="s">
        <v>13</v>
      </c>
      <c r="E180" s="57">
        <v>13.2</v>
      </c>
      <c r="F180" s="18">
        <v>55.43</v>
      </c>
      <c r="G180" s="16">
        <v>1</v>
      </c>
      <c r="H180" s="67"/>
      <c r="I180" s="67">
        <v>100.69</v>
      </c>
      <c r="J180" s="67">
        <f t="shared" si="20"/>
        <v>0</v>
      </c>
      <c r="K180" s="8">
        <f t="shared" si="21"/>
        <v>5581.25</v>
      </c>
    </row>
    <row r="181" spans="1:22" ht="33" customHeight="1" x14ac:dyDescent="0.2">
      <c r="A181" s="24" t="s">
        <v>251</v>
      </c>
      <c r="B181" s="79" t="s">
        <v>417</v>
      </c>
      <c r="C181" s="25" t="s">
        <v>418</v>
      </c>
      <c r="D181" s="26" t="s">
        <v>13</v>
      </c>
      <c r="E181" s="57">
        <v>10.3</v>
      </c>
      <c r="F181" s="18">
        <f>13.6+19.59+10.7+(148.61-3.26-7.3)</f>
        <v>181.94</v>
      </c>
      <c r="G181" s="16"/>
      <c r="H181" s="67"/>
      <c r="I181" s="67">
        <v>165.7</v>
      </c>
      <c r="J181" s="67">
        <f t="shared" si="20"/>
        <v>0</v>
      </c>
      <c r="K181" s="8">
        <f t="shared" si="21"/>
        <v>30147.46</v>
      </c>
    </row>
    <row r="182" spans="1:22" ht="33.75" customHeight="1" x14ac:dyDescent="0.2">
      <c r="A182" s="24" t="s">
        <v>252</v>
      </c>
      <c r="B182" s="79" t="s">
        <v>385</v>
      </c>
      <c r="C182" s="25" t="s">
        <v>386</v>
      </c>
      <c r="D182" s="26" t="s">
        <v>13</v>
      </c>
      <c r="E182" s="57">
        <v>15.9</v>
      </c>
      <c r="F182" s="18">
        <f>2.5+2.8+3.26+7.3</f>
        <v>15.86</v>
      </c>
      <c r="G182" s="16">
        <v>1</v>
      </c>
      <c r="H182" s="67"/>
      <c r="I182" s="67">
        <f>45.37*1.2</f>
        <v>54.443999999999996</v>
      </c>
      <c r="J182" s="67">
        <f t="shared" si="20"/>
        <v>0</v>
      </c>
      <c r="K182" s="8">
        <f t="shared" si="21"/>
        <v>863.48</v>
      </c>
      <c r="T182" s="52">
        <f>K174-J174</f>
        <v>122752.93000000001</v>
      </c>
    </row>
    <row r="183" spans="1:22" ht="30" x14ac:dyDescent="0.2">
      <c r="A183" s="24" t="s">
        <v>253</v>
      </c>
      <c r="B183" s="79" t="s">
        <v>419</v>
      </c>
      <c r="C183" s="25" t="s">
        <v>444</v>
      </c>
      <c r="D183" s="26" t="s">
        <v>76</v>
      </c>
      <c r="E183" s="59">
        <v>5</v>
      </c>
      <c r="F183" s="30">
        <f>1+1+3</f>
        <v>5</v>
      </c>
      <c r="G183" s="16">
        <v>1</v>
      </c>
      <c r="H183" s="67"/>
      <c r="I183" s="67">
        <v>410.42</v>
      </c>
      <c r="J183" s="67">
        <f t="shared" si="20"/>
        <v>0</v>
      </c>
      <c r="K183" s="8">
        <f t="shared" si="21"/>
        <v>2052.1</v>
      </c>
      <c r="T183" s="37" t="s">
        <v>457</v>
      </c>
      <c r="U183" s="54" t="s">
        <v>459</v>
      </c>
      <c r="V183" s="2" t="s">
        <v>460</v>
      </c>
    </row>
    <row r="184" spans="1:22" ht="30" x14ac:dyDescent="0.2">
      <c r="A184" s="24"/>
      <c r="B184" s="79" t="s">
        <v>419</v>
      </c>
      <c r="C184" s="25" t="s">
        <v>445</v>
      </c>
      <c r="D184" s="26" t="s">
        <v>76</v>
      </c>
      <c r="E184" s="59">
        <v>2</v>
      </c>
      <c r="F184" s="30">
        <f>1+1</f>
        <v>2</v>
      </c>
      <c r="G184" s="16">
        <v>1</v>
      </c>
      <c r="H184" s="67"/>
      <c r="I184" s="67">
        <v>550.41999999999996</v>
      </c>
      <c r="J184" s="67">
        <f t="shared" si="20"/>
        <v>0</v>
      </c>
      <c r="K184" s="8">
        <f t="shared" si="21"/>
        <v>1100.8399999999999</v>
      </c>
      <c r="S184" s="2">
        <v>90</v>
      </c>
      <c r="T184" s="37">
        <v>15.9</v>
      </c>
      <c r="U184" s="54">
        <v>0</v>
      </c>
      <c r="V184" s="2">
        <f>T184-U184</f>
        <v>15.9</v>
      </c>
    </row>
    <row r="185" spans="1:22" ht="22.5" customHeight="1" x14ac:dyDescent="0.2">
      <c r="A185" s="24" t="s">
        <v>254</v>
      </c>
      <c r="B185" s="79" t="s">
        <v>90</v>
      </c>
      <c r="C185" s="25" t="s">
        <v>405</v>
      </c>
      <c r="D185" s="26" t="s">
        <v>76</v>
      </c>
      <c r="E185" s="59">
        <v>1</v>
      </c>
      <c r="F185" s="30">
        <v>1</v>
      </c>
      <c r="G185" s="16">
        <v>1</v>
      </c>
      <c r="H185" s="67"/>
      <c r="I185" s="67">
        <f>1.1*327.77</f>
        <v>360.54700000000003</v>
      </c>
      <c r="J185" s="67">
        <f t="shared" si="20"/>
        <v>0</v>
      </c>
      <c r="K185" s="8">
        <f t="shared" si="21"/>
        <v>360.55</v>
      </c>
      <c r="S185" s="2">
        <v>160</v>
      </c>
      <c r="T185" s="52">
        <v>55.5</v>
      </c>
      <c r="U185" s="54">
        <v>42.3</v>
      </c>
      <c r="V185" s="2">
        <f t="shared" ref="V185:V186" si="22">T185-U185</f>
        <v>13.200000000000003</v>
      </c>
    </row>
    <row r="186" spans="1:22" ht="30" x14ac:dyDescent="0.2">
      <c r="A186" s="24" t="s">
        <v>255</v>
      </c>
      <c r="B186" s="79" t="s">
        <v>406</v>
      </c>
      <c r="C186" s="25" t="s">
        <v>447</v>
      </c>
      <c r="D186" s="26" t="s">
        <v>76</v>
      </c>
      <c r="E186" s="59">
        <v>3</v>
      </c>
      <c r="F186" s="30">
        <f>2+1</f>
        <v>3</v>
      </c>
      <c r="G186" s="16">
        <v>1</v>
      </c>
      <c r="H186" s="67"/>
      <c r="I186" s="67">
        <v>305.74</v>
      </c>
      <c r="J186" s="67">
        <f t="shared" si="20"/>
        <v>0</v>
      </c>
      <c r="K186" s="8">
        <f t="shared" si="21"/>
        <v>917.22</v>
      </c>
      <c r="S186" s="2">
        <v>200</v>
      </c>
      <c r="T186" s="52">
        <v>192</v>
      </c>
      <c r="U186" s="54">
        <f>148.5+33.2</f>
        <v>181.7</v>
      </c>
      <c r="V186" s="2">
        <f t="shared" si="22"/>
        <v>10.300000000000011</v>
      </c>
    </row>
    <row r="187" spans="1:22" ht="20.25" customHeight="1" x14ac:dyDescent="0.2">
      <c r="A187" s="24" t="s">
        <v>256</v>
      </c>
      <c r="B187" s="79" t="s">
        <v>99</v>
      </c>
      <c r="C187" s="25" t="s">
        <v>218</v>
      </c>
      <c r="D187" s="26" t="s">
        <v>76</v>
      </c>
      <c r="E187" s="59">
        <v>2</v>
      </c>
      <c r="F187" s="30">
        <v>2</v>
      </c>
      <c r="G187" s="16">
        <v>1</v>
      </c>
      <c r="H187" s="67"/>
      <c r="I187" s="67">
        <v>316.75</v>
      </c>
      <c r="J187" s="67">
        <f t="shared" si="20"/>
        <v>0</v>
      </c>
      <c r="K187" s="8">
        <f t="shared" si="21"/>
        <v>633.5</v>
      </c>
      <c r="S187" s="2" t="s">
        <v>458</v>
      </c>
      <c r="T187" s="49">
        <f>T185+T186+T184</f>
        <v>263.39999999999998</v>
      </c>
      <c r="U187" s="49">
        <f>U185+U186+U184</f>
        <v>224</v>
      </c>
      <c r="V187" s="49">
        <f>V185+V186+V184</f>
        <v>39.400000000000013</v>
      </c>
    </row>
    <row r="188" spans="1:22" ht="19.5" customHeight="1" x14ac:dyDescent="0.2">
      <c r="A188" s="24" t="s">
        <v>256</v>
      </c>
      <c r="B188" s="79" t="s">
        <v>423</v>
      </c>
      <c r="C188" s="25" t="s">
        <v>424</v>
      </c>
      <c r="D188" s="26" t="s">
        <v>76</v>
      </c>
      <c r="E188" s="59">
        <v>3</v>
      </c>
      <c r="F188" s="30">
        <v>3</v>
      </c>
      <c r="G188" s="16">
        <v>1</v>
      </c>
      <c r="H188" s="67"/>
      <c r="I188" s="67">
        <f>1.1*316.75</f>
        <v>348.42500000000001</v>
      </c>
      <c r="J188" s="67">
        <f t="shared" si="20"/>
        <v>0</v>
      </c>
      <c r="K188" s="8">
        <f t="shared" si="21"/>
        <v>1045.28</v>
      </c>
    </row>
    <row r="189" spans="1:22" ht="33" customHeight="1" x14ac:dyDescent="0.2">
      <c r="A189" s="24" t="s">
        <v>257</v>
      </c>
      <c r="B189" s="79" t="s">
        <v>100</v>
      </c>
      <c r="C189" s="25" t="s">
        <v>102</v>
      </c>
      <c r="D189" s="26" t="s">
        <v>101</v>
      </c>
      <c r="E189" s="59">
        <v>10</v>
      </c>
      <c r="F189" s="30">
        <f>F180/6</f>
        <v>9.2383333333333333</v>
      </c>
      <c r="G189" s="16">
        <v>1</v>
      </c>
      <c r="H189" s="67"/>
      <c r="I189" s="67">
        <v>86.11</v>
      </c>
      <c r="J189" s="67">
        <f t="shared" si="20"/>
        <v>0</v>
      </c>
      <c r="K189" s="8">
        <f t="shared" si="21"/>
        <v>795.51</v>
      </c>
    </row>
    <row r="190" spans="1:22" ht="35.25" customHeight="1" x14ac:dyDescent="0.2">
      <c r="A190" s="24" t="s">
        <v>258</v>
      </c>
      <c r="B190" s="79" t="s">
        <v>407</v>
      </c>
      <c r="C190" s="25" t="s">
        <v>422</v>
      </c>
      <c r="D190" s="26" t="s">
        <v>101</v>
      </c>
      <c r="E190" s="59">
        <v>31</v>
      </c>
      <c r="F190" s="30">
        <f>F181/6</f>
        <v>30.323333333333334</v>
      </c>
      <c r="G190" s="16">
        <v>1</v>
      </c>
      <c r="H190" s="67"/>
      <c r="I190" s="67">
        <v>69.98</v>
      </c>
      <c r="J190" s="67">
        <f t="shared" si="20"/>
        <v>0</v>
      </c>
      <c r="K190" s="8">
        <f t="shared" si="21"/>
        <v>2122.0300000000002</v>
      </c>
    </row>
    <row r="191" spans="1:22" ht="33" customHeight="1" x14ac:dyDescent="0.2">
      <c r="A191" s="24" t="s">
        <v>259</v>
      </c>
      <c r="B191" s="79" t="s">
        <v>78</v>
      </c>
      <c r="C191" s="28" t="s">
        <v>464</v>
      </c>
      <c r="D191" s="39" t="s">
        <v>372</v>
      </c>
      <c r="E191" s="61">
        <v>181.7</v>
      </c>
      <c r="F191" s="42">
        <v>41</v>
      </c>
      <c r="G191" s="41">
        <v>1</v>
      </c>
      <c r="H191" s="70"/>
      <c r="I191" s="70">
        <v>353.23</v>
      </c>
      <c r="J191" s="67">
        <f t="shared" si="20"/>
        <v>0</v>
      </c>
      <c r="K191" s="8">
        <f t="shared" si="21"/>
        <v>14482.43</v>
      </c>
      <c r="S191" s="42">
        <v>41</v>
      </c>
      <c r="T191" s="41">
        <v>1</v>
      </c>
      <c r="U191" s="40">
        <f>172.5*2.5-78</f>
        <v>353.25</v>
      </c>
      <c r="V191" s="8">
        <f t="shared" ref="V191:V192" si="23">ROUND(S191*U191,2)</f>
        <v>14483.25</v>
      </c>
    </row>
    <row r="192" spans="1:22" ht="34.5" customHeight="1" x14ac:dyDescent="0.2">
      <c r="A192" s="24" t="s">
        <v>260</v>
      </c>
      <c r="B192" s="79" t="s">
        <v>78</v>
      </c>
      <c r="C192" s="28" t="s">
        <v>455</v>
      </c>
      <c r="D192" s="39" t="s">
        <v>372</v>
      </c>
      <c r="E192" s="61">
        <v>42.3</v>
      </c>
      <c r="F192" s="42">
        <v>108.63</v>
      </c>
      <c r="G192" s="41">
        <v>1</v>
      </c>
      <c r="H192" s="70"/>
      <c r="I192" s="70">
        <v>353.25</v>
      </c>
      <c r="J192" s="67">
        <f t="shared" si="20"/>
        <v>0</v>
      </c>
      <c r="K192" s="8">
        <f t="shared" si="21"/>
        <v>38373.550000000003</v>
      </c>
      <c r="S192" s="42">
        <f>13.6+19.59+75.44</f>
        <v>108.63</v>
      </c>
      <c r="T192" s="41">
        <v>1</v>
      </c>
      <c r="U192" s="40">
        <f>172.5*2.5-78</f>
        <v>353.25</v>
      </c>
      <c r="V192" s="8">
        <f t="shared" si="23"/>
        <v>38373.550000000003</v>
      </c>
    </row>
    <row r="193" spans="1:20" ht="32.25" customHeight="1" x14ac:dyDescent="0.2">
      <c r="A193" s="24" t="s">
        <v>261</v>
      </c>
      <c r="B193" s="79" t="s">
        <v>412</v>
      </c>
      <c r="C193" s="25" t="s">
        <v>77</v>
      </c>
      <c r="D193" s="39" t="s">
        <v>76</v>
      </c>
      <c r="E193" s="62">
        <f>1+1</f>
        <v>2</v>
      </c>
      <c r="F193" s="62">
        <f>1+1</f>
        <v>2</v>
      </c>
      <c r="G193" s="41">
        <v>1</v>
      </c>
      <c r="H193" s="70"/>
      <c r="I193" s="70">
        <v>104.56</v>
      </c>
      <c r="J193" s="67">
        <f t="shared" si="20"/>
        <v>0</v>
      </c>
      <c r="K193" s="8">
        <f t="shared" si="21"/>
        <v>209.12</v>
      </c>
    </row>
    <row r="194" spans="1:20" ht="24" customHeight="1" x14ac:dyDescent="0.2">
      <c r="A194" s="24" t="s">
        <v>262</v>
      </c>
      <c r="B194" s="79" t="s">
        <v>107</v>
      </c>
      <c r="C194" s="25" t="s">
        <v>108</v>
      </c>
      <c r="D194" s="26" t="s">
        <v>62</v>
      </c>
      <c r="E194" s="30">
        <v>1</v>
      </c>
      <c r="F194" s="30">
        <v>1</v>
      </c>
      <c r="G194" s="16">
        <v>1</v>
      </c>
      <c r="H194" s="67"/>
      <c r="I194" s="67">
        <v>3342.12</v>
      </c>
      <c r="J194" s="67">
        <f t="shared" si="20"/>
        <v>0</v>
      </c>
      <c r="K194" s="8">
        <f t="shared" si="21"/>
        <v>3342.12</v>
      </c>
    </row>
    <row r="195" spans="1:20" ht="24" customHeight="1" x14ac:dyDescent="0.2">
      <c r="A195" s="24"/>
      <c r="B195" s="79" t="s">
        <v>109</v>
      </c>
      <c r="C195" s="25" t="s">
        <v>110</v>
      </c>
      <c r="D195" s="26" t="s">
        <v>62</v>
      </c>
      <c r="E195" s="30">
        <v>1</v>
      </c>
      <c r="F195" s="30">
        <v>1</v>
      </c>
      <c r="G195" s="16">
        <v>1</v>
      </c>
      <c r="H195" s="67"/>
      <c r="I195" s="67">
        <v>3642.12</v>
      </c>
      <c r="J195" s="67">
        <f t="shared" si="20"/>
        <v>0</v>
      </c>
      <c r="K195" s="8">
        <f t="shared" si="21"/>
        <v>3642.12</v>
      </c>
    </row>
    <row r="196" spans="1:20" ht="30" x14ac:dyDescent="0.2">
      <c r="A196" s="24" t="s">
        <v>263</v>
      </c>
      <c r="B196" s="79" t="s">
        <v>398</v>
      </c>
      <c r="C196" s="25" t="s">
        <v>399</v>
      </c>
      <c r="D196" s="26" t="s">
        <v>76</v>
      </c>
      <c r="E196" s="30">
        <v>1</v>
      </c>
      <c r="F196" s="30">
        <v>1</v>
      </c>
      <c r="G196" s="16">
        <v>1</v>
      </c>
      <c r="H196" s="67"/>
      <c r="I196" s="67">
        <v>562.71</v>
      </c>
      <c r="J196" s="67">
        <f t="shared" si="20"/>
        <v>0</v>
      </c>
      <c r="K196" s="8">
        <f t="shared" si="21"/>
        <v>562.71</v>
      </c>
    </row>
    <row r="197" spans="1:20" ht="32.25" customHeight="1" x14ac:dyDescent="0.2">
      <c r="A197" s="24" t="s">
        <v>264</v>
      </c>
      <c r="B197" s="79" t="s">
        <v>78</v>
      </c>
      <c r="C197" s="25" t="s">
        <v>421</v>
      </c>
      <c r="D197" s="26" t="s">
        <v>76</v>
      </c>
      <c r="E197" s="30">
        <v>1</v>
      </c>
      <c r="F197" s="30">
        <v>1</v>
      </c>
      <c r="G197" s="16">
        <v>1</v>
      </c>
      <c r="H197" s="67"/>
      <c r="I197" s="67">
        <f>475.6*1.35</f>
        <v>642.06000000000006</v>
      </c>
      <c r="J197" s="67">
        <f t="shared" si="20"/>
        <v>0</v>
      </c>
      <c r="K197" s="8">
        <f t="shared" si="21"/>
        <v>642.05999999999995</v>
      </c>
    </row>
    <row r="198" spans="1:20" ht="30" x14ac:dyDescent="0.2">
      <c r="A198" s="24" t="s">
        <v>265</v>
      </c>
      <c r="B198" s="79" t="s">
        <v>111</v>
      </c>
      <c r="C198" s="25" t="s">
        <v>112</v>
      </c>
      <c r="D198" s="26" t="s">
        <v>15</v>
      </c>
      <c r="E198" s="18">
        <f>(0.25+0.3)*0.3*2*3</f>
        <v>0.99</v>
      </c>
      <c r="F198" s="18">
        <f>(0.25+0.3)*0.3*2*3</f>
        <v>0.99</v>
      </c>
      <c r="G198" s="16">
        <v>1</v>
      </c>
      <c r="H198" s="67"/>
      <c r="I198" s="67">
        <v>47.73</v>
      </c>
      <c r="J198" s="67">
        <f t="shared" si="20"/>
        <v>0</v>
      </c>
      <c r="K198" s="8">
        <f t="shared" si="21"/>
        <v>47.25</v>
      </c>
    </row>
    <row r="199" spans="1:20" ht="30" x14ac:dyDescent="0.2">
      <c r="A199" s="24" t="s">
        <v>266</v>
      </c>
      <c r="B199" s="79" t="s">
        <v>113</v>
      </c>
      <c r="C199" s="25" t="s">
        <v>114</v>
      </c>
      <c r="D199" s="26" t="s">
        <v>25</v>
      </c>
      <c r="E199" s="18">
        <f>(0.25*0.3*0.3)*3</f>
        <v>6.7500000000000004E-2</v>
      </c>
      <c r="F199" s="18">
        <f>(0.25*0.3*0.3)*3</f>
        <v>6.7500000000000004E-2</v>
      </c>
      <c r="G199" s="16">
        <v>1</v>
      </c>
      <c r="H199" s="67"/>
      <c r="I199" s="67">
        <v>242.6</v>
      </c>
      <c r="J199" s="67">
        <f t="shared" si="20"/>
        <v>0</v>
      </c>
      <c r="K199" s="8">
        <f t="shared" si="21"/>
        <v>16.38</v>
      </c>
    </row>
    <row r="200" spans="1:20" ht="45" x14ac:dyDescent="0.2">
      <c r="A200" s="24" t="s">
        <v>267</v>
      </c>
      <c r="B200" s="79" t="s">
        <v>115</v>
      </c>
      <c r="C200" s="25" t="s">
        <v>116</v>
      </c>
      <c r="D200" s="26" t="s">
        <v>13</v>
      </c>
      <c r="E200" s="18">
        <f>E180+E181+E182</f>
        <v>39.4</v>
      </c>
      <c r="F200" s="18">
        <v>14.73</v>
      </c>
      <c r="G200" s="16">
        <v>1</v>
      </c>
      <c r="H200" s="67"/>
      <c r="I200" s="67">
        <v>2.04</v>
      </c>
      <c r="J200" s="67">
        <f t="shared" si="20"/>
        <v>0</v>
      </c>
      <c r="K200" s="8">
        <f t="shared" si="21"/>
        <v>30.05</v>
      </c>
    </row>
    <row r="201" spans="1:20" ht="30" x14ac:dyDescent="0.2">
      <c r="A201" s="24" t="s">
        <v>268</v>
      </c>
      <c r="B201" s="79" t="s">
        <v>117</v>
      </c>
      <c r="C201" s="25" t="s">
        <v>118</v>
      </c>
      <c r="D201" s="26" t="s">
        <v>62</v>
      </c>
      <c r="E201" s="57">
        <v>3</v>
      </c>
      <c r="F201" s="18">
        <v>3</v>
      </c>
      <c r="G201" s="16">
        <v>1</v>
      </c>
      <c r="H201" s="67"/>
      <c r="I201" s="67">
        <v>152.78</v>
      </c>
      <c r="J201" s="67">
        <f t="shared" si="20"/>
        <v>0</v>
      </c>
      <c r="K201" s="8">
        <f t="shared" si="21"/>
        <v>458.34</v>
      </c>
    </row>
    <row r="202" spans="1:20" ht="30" x14ac:dyDescent="0.2">
      <c r="A202" s="24" t="s">
        <v>269</v>
      </c>
      <c r="B202" s="79" t="s">
        <v>119</v>
      </c>
      <c r="C202" s="25" t="s">
        <v>121</v>
      </c>
      <c r="D202" s="26" t="s">
        <v>120</v>
      </c>
      <c r="E202" s="57">
        <f>263.4/200</f>
        <v>1.3169999999999999</v>
      </c>
      <c r="F202" s="18">
        <f>(F180+F181)/200</f>
        <v>1.18685</v>
      </c>
      <c r="G202" s="16">
        <v>1</v>
      </c>
      <c r="H202" s="67"/>
      <c r="I202" s="67">
        <v>47.13</v>
      </c>
      <c r="J202" s="67">
        <f t="shared" si="20"/>
        <v>0</v>
      </c>
      <c r="K202" s="8">
        <f t="shared" si="21"/>
        <v>55.94</v>
      </c>
    </row>
    <row r="203" spans="1:20" ht="30" x14ac:dyDescent="0.2">
      <c r="A203" s="24" t="s">
        <v>270</v>
      </c>
      <c r="B203" s="79" t="s">
        <v>122</v>
      </c>
      <c r="C203" s="25" t="s">
        <v>123</v>
      </c>
      <c r="D203" s="26" t="s">
        <v>120</v>
      </c>
      <c r="E203" s="57">
        <f t="shared" ref="E203:E204" si="24">263.4/200</f>
        <v>1.3169999999999999</v>
      </c>
      <c r="F203" s="18">
        <f>F202</f>
        <v>1.18685</v>
      </c>
      <c r="G203" s="16">
        <v>1</v>
      </c>
      <c r="H203" s="67"/>
      <c r="I203" s="67">
        <v>171.08</v>
      </c>
      <c r="J203" s="67">
        <f t="shared" si="20"/>
        <v>0</v>
      </c>
      <c r="K203" s="8">
        <f t="shared" si="21"/>
        <v>203.05</v>
      </c>
    </row>
    <row r="204" spans="1:20" ht="30" x14ac:dyDescent="0.2">
      <c r="A204" s="24" t="s">
        <v>271</v>
      </c>
      <c r="B204" s="79" t="s">
        <v>124</v>
      </c>
      <c r="C204" s="25" t="s">
        <v>126</v>
      </c>
      <c r="D204" s="26" t="s">
        <v>125</v>
      </c>
      <c r="E204" s="57">
        <f t="shared" si="24"/>
        <v>1.3169999999999999</v>
      </c>
      <c r="F204" s="18">
        <f>F202</f>
        <v>1.18685</v>
      </c>
      <c r="G204" s="16">
        <v>1</v>
      </c>
      <c r="H204" s="67"/>
      <c r="I204" s="67">
        <v>467.24</v>
      </c>
      <c r="J204" s="67">
        <f t="shared" si="20"/>
        <v>0</v>
      </c>
      <c r="K204" s="8">
        <f t="shared" si="21"/>
        <v>554.54</v>
      </c>
    </row>
    <row r="205" spans="1:20" s="47" customFormat="1" ht="34.5" customHeight="1" x14ac:dyDescent="0.2">
      <c r="A205" s="24" t="s">
        <v>272</v>
      </c>
      <c r="B205" s="82" t="s">
        <v>78</v>
      </c>
      <c r="C205" s="44" t="s">
        <v>446</v>
      </c>
      <c r="D205" s="45" t="s">
        <v>193</v>
      </c>
      <c r="E205" s="63">
        <v>1</v>
      </c>
      <c r="F205" s="63">
        <v>1</v>
      </c>
      <c r="G205" s="64">
        <v>1</v>
      </c>
      <c r="H205" s="73"/>
      <c r="I205" s="73">
        <v>500</v>
      </c>
      <c r="J205" s="67">
        <f t="shared" si="20"/>
        <v>0</v>
      </c>
      <c r="K205" s="8">
        <f t="shared" si="21"/>
        <v>500</v>
      </c>
      <c r="L205" s="46">
        <f>ROUND(F205*K205,2)</f>
        <v>500</v>
      </c>
      <c r="T205" s="53"/>
    </row>
    <row r="206" spans="1:20" s="47" customFormat="1" ht="45" x14ac:dyDescent="0.2">
      <c r="A206" s="24" t="s">
        <v>273</v>
      </c>
      <c r="B206" s="82" t="s">
        <v>398</v>
      </c>
      <c r="C206" s="44" t="s">
        <v>420</v>
      </c>
      <c r="D206" s="45" t="s">
        <v>76</v>
      </c>
      <c r="E206" s="63">
        <v>1</v>
      </c>
      <c r="F206" s="63">
        <v>1</v>
      </c>
      <c r="G206" s="64">
        <v>1</v>
      </c>
      <c r="H206" s="73"/>
      <c r="I206" s="73">
        <v>309.41000000000003</v>
      </c>
      <c r="J206" s="67">
        <f t="shared" si="20"/>
        <v>0</v>
      </c>
      <c r="K206" s="8">
        <f t="shared" si="21"/>
        <v>309.41000000000003</v>
      </c>
      <c r="L206" s="46">
        <f>ROUND(F206*K206,2)</f>
        <v>309.41000000000003</v>
      </c>
      <c r="T206" s="53"/>
    </row>
    <row r="207" spans="1:20" ht="15" x14ac:dyDescent="0.2">
      <c r="A207" s="14" t="s">
        <v>283</v>
      </c>
      <c r="B207" s="77" t="s">
        <v>7</v>
      </c>
      <c r="C207" s="15" t="s">
        <v>212</v>
      </c>
      <c r="D207" s="16"/>
      <c r="E207" s="55"/>
      <c r="F207" s="18"/>
      <c r="G207" s="16"/>
      <c r="H207" s="66"/>
      <c r="I207" s="67"/>
      <c r="J207" s="68">
        <f>J208+J223+J233+J238</f>
        <v>0</v>
      </c>
      <c r="K207" s="7">
        <f>K208+K223+K233+K238</f>
        <v>32721.969999999998</v>
      </c>
    </row>
    <row r="208" spans="1:20" ht="15" x14ac:dyDescent="0.2">
      <c r="A208" s="14" t="s">
        <v>284</v>
      </c>
      <c r="B208" s="77" t="s">
        <v>10</v>
      </c>
      <c r="C208" s="15" t="s">
        <v>328</v>
      </c>
      <c r="D208" s="16"/>
      <c r="E208" s="55"/>
      <c r="F208" s="18"/>
      <c r="G208" s="16"/>
      <c r="H208" s="66"/>
      <c r="I208" s="67"/>
      <c r="J208" s="68">
        <f>SUM(J209:J222)</f>
        <v>0</v>
      </c>
      <c r="K208" s="7">
        <f>SUM(K209:K222)</f>
        <v>5946.2400000000016</v>
      </c>
    </row>
    <row r="209" spans="1:11" ht="30" x14ac:dyDescent="0.2">
      <c r="A209" s="24" t="s">
        <v>151</v>
      </c>
      <c r="B209" s="79" t="s">
        <v>12</v>
      </c>
      <c r="C209" s="25" t="s">
        <v>383</v>
      </c>
      <c r="D209" s="26" t="s">
        <v>13</v>
      </c>
      <c r="E209" s="18">
        <f>3*2</f>
        <v>6</v>
      </c>
      <c r="F209" s="18">
        <f>3*2</f>
        <v>6</v>
      </c>
      <c r="G209" s="16">
        <v>1</v>
      </c>
      <c r="H209" s="67"/>
      <c r="I209" s="67">
        <v>8.1199999999999992</v>
      </c>
      <c r="J209" s="67">
        <f t="shared" ref="J209:J222" si="25">ROUND(E209*H209,2)</f>
        <v>0</v>
      </c>
      <c r="K209" s="8">
        <f t="shared" ref="K209:K222" si="26">ROUND(F209*I209,2)</f>
        <v>48.72</v>
      </c>
    </row>
    <row r="210" spans="1:11" ht="30" x14ac:dyDescent="0.2">
      <c r="A210" s="32" t="s">
        <v>156</v>
      </c>
      <c r="B210" s="80" t="s">
        <v>206</v>
      </c>
      <c r="C210" s="28" t="s">
        <v>207</v>
      </c>
      <c r="D210" s="26" t="s">
        <v>13</v>
      </c>
      <c r="E210" s="18">
        <f>3.5*2</f>
        <v>7</v>
      </c>
      <c r="F210" s="18">
        <f>3.5*2</f>
        <v>7</v>
      </c>
      <c r="G210" s="16">
        <v>1</v>
      </c>
      <c r="H210" s="67"/>
      <c r="I210" s="67">
        <v>9.92</v>
      </c>
      <c r="J210" s="67">
        <f t="shared" si="25"/>
        <v>0</v>
      </c>
      <c r="K210" s="8">
        <f t="shared" si="26"/>
        <v>69.44</v>
      </c>
    </row>
    <row r="211" spans="1:11" ht="30" x14ac:dyDescent="0.2">
      <c r="A211" s="24" t="s">
        <v>162</v>
      </c>
      <c r="B211" s="79" t="s">
        <v>359</v>
      </c>
      <c r="C211" s="25" t="s">
        <v>360</v>
      </c>
      <c r="D211" s="26" t="s">
        <v>15</v>
      </c>
      <c r="E211" s="18">
        <f>3.5*2</f>
        <v>7</v>
      </c>
      <c r="F211" s="18">
        <f>3.5*2</f>
        <v>7</v>
      </c>
      <c r="G211" s="16">
        <v>5</v>
      </c>
      <c r="H211" s="67"/>
      <c r="I211" s="67">
        <v>45</v>
      </c>
      <c r="J211" s="67">
        <f t="shared" si="25"/>
        <v>0</v>
      </c>
      <c r="K211" s="8">
        <f t="shared" si="26"/>
        <v>315</v>
      </c>
    </row>
    <row r="212" spans="1:11" ht="30" x14ac:dyDescent="0.2">
      <c r="A212" s="32" t="s">
        <v>165</v>
      </c>
      <c r="B212" s="79" t="s">
        <v>357</v>
      </c>
      <c r="C212" s="25" t="s">
        <v>358</v>
      </c>
      <c r="D212" s="26" t="s">
        <v>15</v>
      </c>
      <c r="E212" s="18">
        <f>E211+E215</f>
        <v>63</v>
      </c>
      <c r="F212" s="18">
        <f>F211+F215</f>
        <v>63</v>
      </c>
      <c r="G212" s="16">
        <v>1</v>
      </c>
      <c r="H212" s="67"/>
      <c r="I212" s="67">
        <v>23.03</v>
      </c>
      <c r="J212" s="67">
        <f t="shared" si="25"/>
        <v>0</v>
      </c>
      <c r="K212" s="8">
        <f t="shared" si="26"/>
        <v>1450.89</v>
      </c>
    </row>
    <row r="213" spans="1:11" ht="30" x14ac:dyDescent="0.2">
      <c r="A213" s="24" t="s">
        <v>181</v>
      </c>
      <c r="B213" s="79" t="s">
        <v>133</v>
      </c>
      <c r="C213" s="25" t="s">
        <v>134</v>
      </c>
      <c r="D213" s="26" t="s">
        <v>15</v>
      </c>
      <c r="E213" s="18">
        <f>E212</f>
        <v>63</v>
      </c>
      <c r="F213" s="18">
        <f>F212</f>
        <v>63</v>
      </c>
      <c r="G213" s="16">
        <v>1</v>
      </c>
      <c r="H213" s="67"/>
      <c r="I213" s="67">
        <v>16.899999999999999</v>
      </c>
      <c r="J213" s="67">
        <f t="shared" si="25"/>
        <v>0</v>
      </c>
      <c r="K213" s="8">
        <f t="shared" si="26"/>
        <v>1064.7</v>
      </c>
    </row>
    <row r="214" spans="1:11" ht="30" x14ac:dyDescent="0.2">
      <c r="A214" s="32" t="s">
        <v>338</v>
      </c>
      <c r="B214" s="79" t="s">
        <v>135</v>
      </c>
      <c r="C214" s="25" t="s">
        <v>136</v>
      </c>
      <c r="D214" s="26" t="s">
        <v>15</v>
      </c>
      <c r="E214" s="18">
        <f>E212</f>
        <v>63</v>
      </c>
      <c r="F214" s="18">
        <f>F212</f>
        <v>63</v>
      </c>
      <c r="G214" s="16">
        <v>10</v>
      </c>
      <c r="H214" s="67"/>
      <c r="I214" s="67">
        <v>7.6</v>
      </c>
      <c r="J214" s="67">
        <f t="shared" si="25"/>
        <v>0</v>
      </c>
      <c r="K214" s="8">
        <f t="shared" si="26"/>
        <v>478.8</v>
      </c>
    </row>
    <row r="215" spans="1:11" ht="30" x14ac:dyDescent="0.2">
      <c r="A215" s="24" t="s">
        <v>387</v>
      </c>
      <c r="B215" s="79" t="s">
        <v>20</v>
      </c>
      <c r="C215" s="25" t="s">
        <v>21</v>
      </c>
      <c r="D215" s="26" t="s">
        <v>15</v>
      </c>
      <c r="E215" s="18">
        <f>20*2+(1.5+6.5)*2</f>
        <v>56</v>
      </c>
      <c r="F215" s="18">
        <f>20*2+(1.5+6.5)*2</f>
        <v>56</v>
      </c>
      <c r="G215" s="16">
        <v>1</v>
      </c>
      <c r="H215" s="67"/>
      <c r="I215" s="67">
        <v>16.600000000000001</v>
      </c>
      <c r="J215" s="67">
        <f t="shared" si="25"/>
        <v>0</v>
      </c>
      <c r="K215" s="8">
        <f t="shared" si="26"/>
        <v>929.6</v>
      </c>
    </row>
    <row r="216" spans="1:11" ht="36" customHeight="1" x14ac:dyDescent="0.2">
      <c r="A216" s="24" t="s">
        <v>469</v>
      </c>
      <c r="B216" s="79" t="s">
        <v>137</v>
      </c>
      <c r="C216" s="25" t="s">
        <v>468</v>
      </c>
      <c r="D216" s="26" t="s">
        <v>15</v>
      </c>
      <c r="E216" s="18">
        <v>7</v>
      </c>
      <c r="F216" s="18"/>
      <c r="G216" s="16">
        <v>1</v>
      </c>
      <c r="H216" s="66"/>
      <c r="I216" s="67"/>
      <c r="J216" s="67">
        <f t="shared" si="25"/>
        <v>0</v>
      </c>
      <c r="K216" s="8"/>
    </row>
    <row r="217" spans="1:11" ht="45" x14ac:dyDescent="0.2">
      <c r="A217" s="32" t="s">
        <v>388</v>
      </c>
      <c r="B217" s="79" t="s">
        <v>137</v>
      </c>
      <c r="C217" s="25" t="s">
        <v>138</v>
      </c>
      <c r="D217" s="26" t="s">
        <v>15</v>
      </c>
      <c r="E217" s="18">
        <f>E211</f>
        <v>7</v>
      </c>
      <c r="F217" s="18">
        <f>F211</f>
        <v>7</v>
      </c>
      <c r="G217" s="16">
        <v>2</v>
      </c>
      <c r="H217" s="67"/>
      <c r="I217" s="67">
        <v>15.9</v>
      </c>
      <c r="J217" s="67">
        <f t="shared" si="25"/>
        <v>0</v>
      </c>
      <c r="K217" s="8">
        <f t="shared" si="26"/>
        <v>111.3</v>
      </c>
    </row>
    <row r="218" spans="1:11" ht="35.25" customHeight="1" x14ac:dyDescent="0.2">
      <c r="A218" s="24" t="s">
        <v>389</v>
      </c>
      <c r="B218" s="79" t="s">
        <v>139</v>
      </c>
      <c r="C218" s="25" t="s">
        <v>140</v>
      </c>
      <c r="D218" s="26" t="s">
        <v>15</v>
      </c>
      <c r="E218" s="18">
        <f>E217</f>
        <v>7</v>
      </c>
      <c r="F218" s="18">
        <f>F217</f>
        <v>7</v>
      </c>
      <c r="G218" s="16">
        <v>1</v>
      </c>
      <c r="H218" s="67"/>
      <c r="I218" s="67">
        <f>32.37*1.5</f>
        <v>48.554999999999993</v>
      </c>
      <c r="J218" s="67">
        <f t="shared" si="25"/>
        <v>0</v>
      </c>
      <c r="K218" s="8">
        <f t="shared" si="26"/>
        <v>339.89</v>
      </c>
    </row>
    <row r="219" spans="1:11" ht="45" x14ac:dyDescent="0.2">
      <c r="A219" s="32" t="s">
        <v>390</v>
      </c>
      <c r="B219" s="79" t="s">
        <v>141</v>
      </c>
      <c r="C219" s="25" t="s">
        <v>142</v>
      </c>
      <c r="D219" s="26" t="s">
        <v>15</v>
      </c>
      <c r="E219" s="18">
        <f>E217</f>
        <v>7</v>
      </c>
      <c r="F219" s="18">
        <f>F217</f>
        <v>7</v>
      </c>
      <c r="G219" s="16">
        <v>3</v>
      </c>
      <c r="H219" s="67"/>
      <c r="I219" s="67">
        <f>32.36</f>
        <v>32.36</v>
      </c>
      <c r="J219" s="67">
        <f t="shared" si="25"/>
        <v>0</v>
      </c>
      <c r="K219" s="8">
        <f t="shared" si="26"/>
        <v>226.52</v>
      </c>
    </row>
    <row r="220" spans="1:11" ht="30" x14ac:dyDescent="0.2">
      <c r="A220" s="24" t="s">
        <v>391</v>
      </c>
      <c r="B220" s="79" t="s">
        <v>147</v>
      </c>
      <c r="C220" s="25" t="s">
        <v>148</v>
      </c>
      <c r="D220" s="26" t="s">
        <v>13</v>
      </c>
      <c r="E220" s="18">
        <f>E209</f>
        <v>6</v>
      </c>
      <c r="F220" s="18">
        <f>F209</f>
        <v>6</v>
      </c>
      <c r="G220" s="16">
        <v>1</v>
      </c>
      <c r="H220" s="67"/>
      <c r="I220" s="67">
        <v>49.16</v>
      </c>
      <c r="J220" s="67">
        <f t="shared" si="25"/>
        <v>0</v>
      </c>
      <c r="K220" s="8">
        <f t="shared" si="26"/>
        <v>294.95999999999998</v>
      </c>
    </row>
    <row r="221" spans="1:11" ht="45" x14ac:dyDescent="0.2">
      <c r="A221" s="32" t="s">
        <v>392</v>
      </c>
      <c r="B221" s="79" t="s">
        <v>24</v>
      </c>
      <c r="C221" s="25" t="s">
        <v>26</v>
      </c>
      <c r="D221" s="26" t="s">
        <v>25</v>
      </c>
      <c r="E221" s="18">
        <f>E212*0.3+E211*0.1</f>
        <v>19.599999999999998</v>
      </c>
      <c r="F221" s="18">
        <f>F212*0.3+F211*0.1</f>
        <v>19.599999999999998</v>
      </c>
      <c r="G221" s="16">
        <v>1</v>
      </c>
      <c r="H221" s="67"/>
      <c r="I221" s="67">
        <v>26.01</v>
      </c>
      <c r="J221" s="67">
        <f t="shared" si="25"/>
        <v>0</v>
      </c>
      <c r="K221" s="8">
        <f t="shared" si="26"/>
        <v>509.8</v>
      </c>
    </row>
    <row r="222" spans="1:11" ht="51.75" customHeight="1" x14ac:dyDescent="0.2">
      <c r="A222" s="24" t="s">
        <v>393</v>
      </c>
      <c r="B222" s="79" t="s">
        <v>27</v>
      </c>
      <c r="C222" s="25" t="s">
        <v>337</v>
      </c>
      <c r="D222" s="26" t="s">
        <v>25</v>
      </c>
      <c r="E222" s="18">
        <f>E221</f>
        <v>19.599999999999998</v>
      </c>
      <c r="F222" s="18">
        <f>F221</f>
        <v>19.599999999999998</v>
      </c>
      <c r="G222" s="16">
        <v>4</v>
      </c>
      <c r="H222" s="67"/>
      <c r="I222" s="67">
        <v>5.44</v>
      </c>
      <c r="J222" s="67">
        <f t="shared" si="25"/>
        <v>0</v>
      </c>
      <c r="K222" s="8">
        <f t="shared" si="26"/>
        <v>106.62</v>
      </c>
    </row>
    <row r="223" spans="1:11" ht="15" x14ac:dyDescent="0.2">
      <c r="A223" s="14" t="s">
        <v>285</v>
      </c>
      <c r="B223" s="77" t="s">
        <v>10</v>
      </c>
      <c r="C223" s="15" t="s">
        <v>30</v>
      </c>
      <c r="D223" s="16"/>
      <c r="E223" s="55"/>
      <c r="F223" s="18"/>
      <c r="G223" s="16"/>
      <c r="H223" s="66"/>
      <c r="I223" s="67"/>
      <c r="J223" s="68">
        <f>SUM(J224:J232)</f>
        <v>0</v>
      </c>
      <c r="K223" s="7">
        <f>SUM(K224:K232)</f>
        <v>5092.9599999999991</v>
      </c>
    </row>
    <row r="224" spans="1:11" ht="30" x14ac:dyDescent="0.2">
      <c r="A224" s="24" t="s">
        <v>286</v>
      </c>
      <c r="B224" s="79" t="s">
        <v>31</v>
      </c>
      <c r="C224" s="25" t="s">
        <v>33</v>
      </c>
      <c r="D224" s="26" t="s">
        <v>32</v>
      </c>
      <c r="E224" s="29">
        <f>(5.03+6.8+(26.16+1.65+6.17+1.45))/1000</f>
        <v>4.7259999999999996E-2</v>
      </c>
      <c r="F224" s="29">
        <f>(5.03+6.8+(26.16+1.65+6.17+1.45))/1000</f>
        <v>4.7259999999999996E-2</v>
      </c>
      <c r="G224" s="16">
        <v>1</v>
      </c>
      <c r="H224" s="67"/>
      <c r="I224" s="67">
        <v>2651.36</v>
      </c>
      <c r="J224" s="67">
        <f t="shared" ref="J224:J232" si="27">ROUND(E224*H224,2)</f>
        <v>0</v>
      </c>
      <c r="K224" s="8">
        <f t="shared" ref="K224:K232" si="28">ROUND(F224*I224,2)</f>
        <v>125.3</v>
      </c>
    </row>
    <row r="225" spans="1:19" ht="45" x14ac:dyDescent="0.2">
      <c r="A225" s="24" t="s">
        <v>287</v>
      </c>
      <c r="B225" s="79" t="s">
        <v>36</v>
      </c>
      <c r="C225" s="25" t="s">
        <v>37</v>
      </c>
      <c r="D225" s="26" t="s">
        <v>25</v>
      </c>
      <c r="E225" s="18">
        <f>E234+3.14*(0.025^2*(5.03+6.8)+0.045^2*(26.16+1.65+6.17+1.45))</f>
        <v>21.314281335</v>
      </c>
      <c r="F225" s="18">
        <f>F234+3.14*(0.025^2*(5.03+6.8)+0.045^2*(26.16+1.65+6.17+1.45))</f>
        <v>21.314281335</v>
      </c>
      <c r="G225" s="16">
        <v>1</v>
      </c>
      <c r="H225" s="67"/>
      <c r="I225" s="67">
        <v>45.97</v>
      </c>
      <c r="J225" s="67">
        <f t="shared" si="27"/>
        <v>0</v>
      </c>
      <c r="K225" s="8">
        <f t="shared" si="28"/>
        <v>979.82</v>
      </c>
    </row>
    <row r="226" spans="1:19" ht="60" x14ac:dyDescent="0.2">
      <c r="A226" s="24" t="s">
        <v>288</v>
      </c>
      <c r="B226" s="79" t="s">
        <v>38</v>
      </c>
      <c r="C226" s="25" t="s">
        <v>157</v>
      </c>
      <c r="D226" s="26" t="s">
        <v>25</v>
      </c>
      <c r="E226" s="18">
        <f>E225</f>
        <v>21.314281335</v>
      </c>
      <c r="F226" s="18">
        <f>F225</f>
        <v>21.314281335</v>
      </c>
      <c r="G226" s="16">
        <v>1</v>
      </c>
      <c r="H226" s="67"/>
      <c r="I226" s="67">
        <v>4.2699999999999996</v>
      </c>
      <c r="J226" s="67">
        <f t="shared" si="27"/>
        <v>0</v>
      </c>
      <c r="K226" s="8">
        <f t="shared" si="28"/>
        <v>91.01</v>
      </c>
    </row>
    <row r="227" spans="1:19" ht="45" x14ac:dyDescent="0.2">
      <c r="A227" s="24" t="s">
        <v>289</v>
      </c>
      <c r="B227" s="79" t="s">
        <v>158</v>
      </c>
      <c r="C227" s="25" t="s">
        <v>159</v>
      </c>
      <c r="D227" s="26" t="s">
        <v>25</v>
      </c>
      <c r="E227" s="18">
        <f>(47.26*1*1.8-E226)*80%</f>
        <v>51.002974932000001</v>
      </c>
      <c r="F227" s="18">
        <f>(47.26*1*1.8-F226)*80%</f>
        <v>51.002974932000001</v>
      </c>
      <c r="G227" s="16">
        <v>1</v>
      </c>
      <c r="H227" s="67"/>
      <c r="I227" s="67">
        <f>I156</f>
        <v>7.1</v>
      </c>
      <c r="J227" s="67">
        <f t="shared" si="27"/>
        <v>0</v>
      </c>
      <c r="K227" s="8">
        <f t="shared" si="28"/>
        <v>362.12</v>
      </c>
    </row>
    <row r="228" spans="1:19" ht="45" x14ac:dyDescent="0.2">
      <c r="A228" s="24" t="s">
        <v>290</v>
      </c>
      <c r="B228" s="79" t="s">
        <v>40</v>
      </c>
      <c r="C228" s="25" t="s">
        <v>160</v>
      </c>
      <c r="D228" s="26" t="s">
        <v>25</v>
      </c>
      <c r="E228" s="18">
        <f>(47.26*1*1.8-E227)*20%</f>
        <v>6.8130050135999998</v>
      </c>
      <c r="F228" s="18">
        <f>(47.26*1*1.8-F227)*20%</f>
        <v>6.8130050135999998</v>
      </c>
      <c r="G228" s="16">
        <v>1</v>
      </c>
      <c r="H228" s="67"/>
      <c r="I228" s="67">
        <f>1.6*77.75</f>
        <v>124.4</v>
      </c>
      <c r="J228" s="67">
        <f t="shared" si="27"/>
        <v>0</v>
      </c>
      <c r="K228" s="8">
        <f t="shared" si="28"/>
        <v>847.54</v>
      </c>
    </row>
    <row r="229" spans="1:19" ht="60" x14ac:dyDescent="0.2">
      <c r="A229" s="24" t="s">
        <v>291</v>
      </c>
      <c r="B229" s="79" t="s">
        <v>42</v>
      </c>
      <c r="C229" s="25" t="s">
        <v>43</v>
      </c>
      <c r="D229" s="26" t="s">
        <v>15</v>
      </c>
      <c r="E229" s="18">
        <f>47.26*1.8*2</f>
        <v>170.136</v>
      </c>
      <c r="F229" s="18">
        <f>47.26*1.8*2</f>
        <v>170.136</v>
      </c>
      <c r="G229" s="16">
        <v>1</v>
      </c>
      <c r="H229" s="67"/>
      <c r="I229" s="67">
        <v>8.8800000000000008</v>
      </c>
      <c r="J229" s="67">
        <f t="shared" si="27"/>
        <v>0</v>
      </c>
      <c r="K229" s="8">
        <f t="shared" si="28"/>
        <v>1510.81</v>
      </c>
    </row>
    <row r="230" spans="1:19" ht="45" x14ac:dyDescent="0.2">
      <c r="A230" s="24" t="s">
        <v>294</v>
      </c>
      <c r="B230" s="79" t="s">
        <v>66</v>
      </c>
      <c r="C230" s="25" t="s">
        <v>67</v>
      </c>
      <c r="D230" s="26" t="s">
        <v>62</v>
      </c>
      <c r="E230" s="30">
        <v>6</v>
      </c>
      <c r="F230" s="30">
        <v>6</v>
      </c>
      <c r="G230" s="16">
        <v>1</v>
      </c>
      <c r="H230" s="67"/>
      <c r="I230" s="67">
        <v>79.23</v>
      </c>
      <c r="J230" s="67">
        <f t="shared" si="27"/>
        <v>0</v>
      </c>
      <c r="K230" s="8">
        <f t="shared" si="28"/>
        <v>475.38</v>
      </c>
    </row>
    <row r="231" spans="1:19" ht="45" x14ac:dyDescent="0.2">
      <c r="A231" s="24" t="s">
        <v>295</v>
      </c>
      <c r="B231" s="79" t="s">
        <v>68</v>
      </c>
      <c r="C231" s="25" t="s">
        <v>69</v>
      </c>
      <c r="D231" s="26" t="s">
        <v>62</v>
      </c>
      <c r="E231" s="30">
        <v>6</v>
      </c>
      <c r="F231" s="30">
        <v>6</v>
      </c>
      <c r="G231" s="16">
        <v>1</v>
      </c>
      <c r="H231" s="67"/>
      <c r="I231" s="67">
        <v>68.680000000000007</v>
      </c>
      <c r="J231" s="67">
        <f t="shared" si="27"/>
        <v>0</v>
      </c>
      <c r="K231" s="8">
        <f t="shared" si="28"/>
        <v>412.08</v>
      </c>
    </row>
    <row r="232" spans="1:19" ht="30" x14ac:dyDescent="0.2">
      <c r="A232" s="24" t="s">
        <v>296</v>
      </c>
      <c r="B232" s="79" t="s">
        <v>70</v>
      </c>
      <c r="C232" s="25" t="s">
        <v>161</v>
      </c>
      <c r="D232" s="26" t="s">
        <v>13</v>
      </c>
      <c r="E232" s="18">
        <f>6*1.5</f>
        <v>9</v>
      </c>
      <c r="F232" s="18">
        <f>6*1.5</f>
        <v>9</v>
      </c>
      <c r="G232" s="16">
        <v>1</v>
      </c>
      <c r="H232" s="67"/>
      <c r="I232" s="67">
        <v>32.1</v>
      </c>
      <c r="J232" s="67">
        <f t="shared" si="27"/>
        <v>0</v>
      </c>
      <c r="K232" s="8">
        <f t="shared" si="28"/>
        <v>288.89999999999998</v>
      </c>
    </row>
    <row r="233" spans="1:19" ht="15" x14ac:dyDescent="0.2">
      <c r="A233" s="14" t="s">
        <v>297</v>
      </c>
      <c r="B233" s="77" t="s">
        <v>10</v>
      </c>
      <c r="C233" s="15" t="s">
        <v>47</v>
      </c>
      <c r="D233" s="16"/>
      <c r="E233" s="55"/>
      <c r="F233" s="18"/>
      <c r="G233" s="16"/>
      <c r="H233" s="66"/>
      <c r="I233" s="67"/>
      <c r="J233" s="68">
        <f>SUM(J234:J237)</f>
        <v>0</v>
      </c>
      <c r="K233" s="7">
        <f>SUM(K234:K237)</f>
        <v>14988.69</v>
      </c>
    </row>
    <row r="234" spans="1:19" ht="30" x14ac:dyDescent="0.2">
      <c r="A234" s="24" t="s">
        <v>298</v>
      </c>
      <c r="B234" s="79" t="s">
        <v>48</v>
      </c>
      <c r="C234" s="25" t="s">
        <v>354</v>
      </c>
      <c r="D234" s="26" t="s">
        <v>25</v>
      </c>
      <c r="E234" s="18">
        <f>((5.03+6.8+26.16+1.65+6.17+1.45)*1*(0.1+0.35))-3.14*0.025^2*(5.03+6.8)-3.14*0.04^2*(26.16+1.65+6.17+1.45)</f>
        <v>21.065783305</v>
      </c>
      <c r="F234" s="18">
        <f>((5.03+6.8+26.16+1.65+6.17+1.45)*1*(0.1+0.35))-3.14*0.025^2*(5.03+6.8)-3.14*0.04^2*(26.16+1.65+6.17+1.45)</f>
        <v>21.065783305</v>
      </c>
      <c r="G234" s="16">
        <v>1</v>
      </c>
      <c r="H234" s="67"/>
      <c r="I234" s="67">
        <f>I162</f>
        <v>170.78</v>
      </c>
      <c r="J234" s="67">
        <f t="shared" ref="J234:K237" si="29">ROUND(E234*H234,2)</f>
        <v>0</v>
      </c>
      <c r="K234" s="8">
        <f t="shared" si="29"/>
        <v>3597.61</v>
      </c>
    </row>
    <row r="235" spans="1:19" ht="45" x14ac:dyDescent="0.2">
      <c r="A235" s="24" t="s">
        <v>299</v>
      </c>
      <c r="B235" s="79" t="s">
        <v>50</v>
      </c>
      <c r="C235" s="25" t="s">
        <v>51</v>
      </c>
      <c r="D235" s="26" t="s">
        <v>25</v>
      </c>
      <c r="E235" s="18">
        <f>E234</f>
        <v>21.065783305</v>
      </c>
      <c r="F235" s="18">
        <f>F234</f>
        <v>21.065783305</v>
      </c>
      <c r="G235" s="16">
        <v>1</v>
      </c>
      <c r="H235" s="67"/>
      <c r="I235" s="67">
        <v>43.94</v>
      </c>
      <c r="J235" s="67">
        <f t="shared" si="29"/>
        <v>0</v>
      </c>
      <c r="K235" s="8">
        <f t="shared" si="29"/>
        <v>925.63</v>
      </c>
    </row>
    <row r="236" spans="1:19" ht="45" x14ac:dyDescent="0.2">
      <c r="A236" s="24" t="s">
        <v>300</v>
      </c>
      <c r="B236" s="79" t="s">
        <v>163</v>
      </c>
      <c r="C236" s="25" t="s">
        <v>164</v>
      </c>
      <c r="D236" s="26" t="s">
        <v>25</v>
      </c>
      <c r="E236" s="18">
        <f>E227+E228</f>
        <v>57.815979945599999</v>
      </c>
      <c r="F236" s="18">
        <f>F227+F228</f>
        <v>57.815979945599999</v>
      </c>
      <c r="G236" s="16">
        <v>1</v>
      </c>
      <c r="H236" s="67"/>
      <c r="I236" s="67">
        <f>I165</f>
        <v>161.53</v>
      </c>
      <c r="J236" s="67">
        <f t="shared" si="29"/>
        <v>0</v>
      </c>
      <c r="K236" s="8">
        <f t="shared" si="29"/>
        <v>9339.02</v>
      </c>
    </row>
    <row r="237" spans="1:19" ht="30" x14ac:dyDescent="0.2">
      <c r="A237" s="24" t="s">
        <v>301</v>
      </c>
      <c r="B237" s="79" t="s">
        <v>52</v>
      </c>
      <c r="C237" s="25" t="s">
        <v>53</v>
      </c>
      <c r="D237" s="26" t="s">
        <v>25</v>
      </c>
      <c r="E237" s="18">
        <f>E235+E236</f>
        <v>78.881763250600002</v>
      </c>
      <c r="F237" s="18">
        <f>F235+F236</f>
        <v>78.881763250600002</v>
      </c>
      <c r="G237" s="16">
        <v>1</v>
      </c>
      <c r="H237" s="67"/>
      <c r="I237" s="67">
        <v>14.28</v>
      </c>
      <c r="J237" s="67">
        <f t="shared" si="29"/>
        <v>0</v>
      </c>
      <c r="K237" s="8">
        <f t="shared" si="29"/>
        <v>1126.43</v>
      </c>
    </row>
    <row r="238" spans="1:19" ht="15" x14ac:dyDescent="0.2">
      <c r="A238" s="14" t="s">
        <v>304</v>
      </c>
      <c r="B238" s="77" t="s">
        <v>10</v>
      </c>
      <c r="C238" s="15" t="s">
        <v>219</v>
      </c>
      <c r="D238" s="16"/>
      <c r="E238" s="55"/>
      <c r="F238" s="18"/>
      <c r="G238" s="16"/>
      <c r="H238" s="66"/>
      <c r="I238" s="67"/>
      <c r="J238" s="68">
        <f>SUM(J239:J249)</f>
        <v>0</v>
      </c>
      <c r="K238" s="7">
        <f>SUM(K239:K249)</f>
        <v>6694.079999999999</v>
      </c>
    </row>
    <row r="239" spans="1:19" ht="34.5" customHeight="1" x14ac:dyDescent="0.2">
      <c r="A239" s="24" t="s">
        <v>305</v>
      </c>
      <c r="B239" s="79" t="s">
        <v>166</v>
      </c>
      <c r="C239" s="25" t="s">
        <v>435</v>
      </c>
      <c r="D239" s="26" t="s">
        <v>13</v>
      </c>
      <c r="E239" s="18">
        <v>47.3</v>
      </c>
      <c r="F239" s="18">
        <f>5.03+6.8+26.16+1.65+6.17+1.45</f>
        <v>47.260000000000005</v>
      </c>
      <c r="G239" s="16">
        <v>1</v>
      </c>
      <c r="H239" s="67"/>
      <c r="I239" s="67">
        <f>82.59</f>
        <v>82.59</v>
      </c>
      <c r="J239" s="67">
        <f t="shared" ref="J239:J249" si="30">ROUND(E239*H239,2)</f>
        <v>0</v>
      </c>
      <c r="K239" s="8">
        <f t="shared" ref="K239:K249" si="31">ROUND(F239*I239,2)</f>
        <v>3903.2</v>
      </c>
      <c r="S239" s="2">
        <f>3903.2/47.3</f>
        <v>82.520084566596196</v>
      </c>
    </row>
    <row r="240" spans="1:19" ht="45" x14ac:dyDescent="0.2">
      <c r="A240" s="24" t="s">
        <v>306</v>
      </c>
      <c r="B240" s="79" t="s">
        <v>394</v>
      </c>
      <c r="C240" s="25" t="s">
        <v>436</v>
      </c>
      <c r="D240" s="26" t="s">
        <v>13</v>
      </c>
      <c r="E240" s="18">
        <v>6</v>
      </c>
      <c r="F240" s="18">
        <v>6</v>
      </c>
      <c r="G240" s="16">
        <v>1</v>
      </c>
      <c r="H240" s="67"/>
      <c r="I240" s="67">
        <v>79.61</v>
      </c>
      <c r="J240" s="67">
        <f t="shared" si="30"/>
        <v>0</v>
      </c>
      <c r="K240" s="8">
        <f t="shared" si="31"/>
        <v>477.66</v>
      </c>
    </row>
    <row r="241" spans="1:21" ht="45" x14ac:dyDescent="0.2">
      <c r="A241" s="24" t="s">
        <v>308</v>
      </c>
      <c r="B241" s="79" t="s">
        <v>434</v>
      </c>
      <c r="C241" s="25" t="s">
        <v>433</v>
      </c>
      <c r="D241" s="26" t="s">
        <v>101</v>
      </c>
      <c r="E241" s="30">
        <f>E239/6</f>
        <v>7.8833333333333329</v>
      </c>
      <c r="F241" s="30">
        <f>F239/6</f>
        <v>7.8766666666666678</v>
      </c>
      <c r="G241" s="16">
        <v>1</v>
      </c>
      <c r="H241" s="67"/>
      <c r="I241" s="67">
        <v>69.89</v>
      </c>
      <c r="J241" s="67">
        <f t="shared" si="30"/>
        <v>0</v>
      </c>
      <c r="K241" s="8">
        <f t="shared" si="31"/>
        <v>550.5</v>
      </c>
    </row>
    <row r="242" spans="1:21" ht="33.75" customHeight="1" x14ac:dyDescent="0.2">
      <c r="A242" s="24" t="s">
        <v>310</v>
      </c>
      <c r="B242" s="79" t="s">
        <v>83</v>
      </c>
      <c r="C242" s="25" t="s">
        <v>346</v>
      </c>
      <c r="D242" s="26" t="s">
        <v>62</v>
      </c>
      <c r="E242" s="30">
        <v>3</v>
      </c>
      <c r="F242" s="30">
        <v>3</v>
      </c>
      <c r="G242" s="16">
        <v>1</v>
      </c>
      <c r="H242" s="67"/>
      <c r="I242" s="67">
        <f>396.71333</f>
        <v>396.71332999999998</v>
      </c>
      <c r="J242" s="67">
        <f t="shared" si="30"/>
        <v>0</v>
      </c>
      <c r="K242" s="8">
        <f t="shared" si="31"/>
        <v>1190.1400000000001</v>
      </c>
    </row>
    <row r="243" spans="1:21" ht="45" x14ac:dyDescent="0.2">
      <c r="A243" s="24" t="s">
        <v>308</v>
      </c>
      <c r="B243" s="79" t="s">
        <v>395</v>
      </c>
      <c r="C243" s="25" t="s">
        <v>427</v>
      </c>
      <c r="D243" s="26" t="s">
        <v>101</v>
      </c>
      <c r="E243" s="30">
        <v>2</v>
      </c>
      <c r="F243" s="30">
        <v>2</v>
      </c>
      <c r="G243" s="16">
        <v>1</v>
      </c>
      <c r="H243" s="67"/>
      <c r="I243" s="67">
        <v>69.89</v>
      </c>
      <c r="J243" s="67">
        <f t="shared" si="30"/>
        <v>0</v>
      </c>
      <c r="K243" s="8">
        <f t="shared" si="31"/>
        <v>139.78</v>
      </c>
    </row>
    <row r="244" spans="1:21" ht="30" x14ac:dyDescent="0.2">
      <c r="A244" s="24" t="s">
        <v>311</v>
      </c>
      <c r="B244" s="79" t="s">
        <v>175</v>
      </c>
      <c r="C244" s="25" t="s">
        <v>176</v>
      </c>
      <c r="D244" s="26" t="s">
        <v>76</v>
      </c>
      <c r="E244" s="30">
        <v>2</v>
      </c>
      <c r="F244" s="30">
        <v>2</v>
      </c>
      <c r="G244" s="16">
        <v>1</v>
      </c>
      <c r="H244" s="67"/>
      <c r="I244" s="67">
        <v>41.47</v>
      </c>
      <c r="J244" s="67">
        <f t="shared" si="30"/>
        <v>0</v>
      </c>
      <c r="K244" s="8">
        <f t="shared" si="31"/>
        <v>82.94</v>
      </c>
    </row>
    <row r="245" spans="1:21" ht="30" x14ac:dyDescent="0.2">
      <c r="A245" s="24" t="s">
        <v>312</v>
      </c>
      <c r="B245" s="79" t="s">
        <v>177</v>
      </c>
      <c r="C245" s="25" t="s">
        <v>178</v>
      </c>
      <c r="D245" s="26" t="s">
        <v>76</v>
      </c>
      <c r="E245" s="30">
        <v>2</v>
      </c>
      <c r="F245" s="30">
        <v>2</v>
      </c>
      <c r="G245" s="16">
        <v>1</v>
      </c>
      <c r="H245" s="67"/>
      <c r="I245" s="67">
        <v>66.27</v>
      </c>
      <c r="J245" s="67">
        <f t="shared" si="30"/>
        <v>0</v>
      </c>
      <c r="K245" s="8">
        <f t="shared" si="31"/>
        <v>132.54</v>
      </c>
    </row>
    <row r="246" spans="1:21" ht="30" x14ac:dyDescent="0.2">
      <c r="A246" s="24" t="s">
        <v>313</v>
      </c>
      <c r="B246" s="79" t="s">
        <v>117</v>
      </c>
      <c r="C246" s="25" t="s">
        <v>118</v>
      </c>
      <c r="D246" s="26" t="s">
        <v>62</v>
      </c>
      <c r="E246" s="30">
        <v>2</v>
      </c>
      <c r="F246" s="30">
        <v>2</v>
      </c>
      <c r="G246" s="16">
        <v>1</v>
      </c>
      <c r="H246" s="67"/>
      <c r="I246" s="67">
        <v>10.11</v>
      </c>
      <c r="J246" s="67">
        <f t="shared" si="30"/>
        <v>0</v>
      </c>
      <c r="K246" s="8">
        <f t="shared" si="31"/>
        <v>20.22</v>
      </c>
    </row>
    <row r="247" spans="1:21" ht="30" x14ac:dyDescent="0.2">
      <c r="A247" s="24" t="s">
        <v>314</v>
      </c>
      <c r="B247" s="79" t="s">
        <v>119</v>
      </c>
      <c r="C247" s="25" t="s">
        <v>121</v>
      </c>
      <c r="D247" s="26" t="s">
        <v>120</v>
      </c>
      <c r="E247" s="18">
        <f>(27.21+26.15+1.65+6.17+1.45)/200</f>
        <v>0.31315000000000004</v>
      </c>
      <c r="F247" s="18">
        <f>(27.21+26.15+1.65+6.17+1.45)/200</f>
        <v>0.31315000000000004</v>
      </c>
      <c r="G247" s="16">
        <v>1</v>
      </c>
      <c r="H247" s="67"/>
      <c r="I247" s="67">
        <v>43.22</v>
      </c>
      <c r="J247" s="67">
        <f t="shared" si="30"/>
        <v>0</v>
      </c>
      <c r="K247" s="8">
        <f t="shared" si="31"/>
        <v>13.53</v>
      </c>
    </row>
    <row r="248" spans="1:21" ht="30" x14ac:dyDescent="0.2">
      <c r="A248" s="24" t="s">
        <v>315</v>
      </c>
      <c r="B248" s="79" t="s">
        <v>122</v>
      </c>
      <c r="C248" s="25" t="s">
        <v>123</v>
      </c>
      <c r="D248" s="26" t="s">
        <v>120</v>
      </c>
      <c r="E248" s="18">
        <f>E247</f>
        <v>0.31315000000000004</v>
      </c>
      <c r="F248" s="18">
        <f>F247</f>
        <v>0.31315000000000004</v>
      </c>
      <c r="G248" s="16">
        <v>1</v>
      </c>
      <c r="H248" s="67"/>
      <c r="I248" s="67">
        <v>171.08</v>
      </c>
      <c r="J248" s="67">
        <f t="shared" si="30"/>
        <v>0</v>
      </c>
      <c r="K248" s="8">
        <f t="shared" si="31"/>
        <v>53.57</v>
      </c>
    </row>
    <row r="249" spans="1:21" ht="32.25" customHeight="1" x14ac:dyDescent="0.2">
      <c r="A249" s="24" t="s">
        <v>316</v>
      </c>
      <c r="B249" s="79" t="s">
        <v>179</v>
      </c>
      <c r="C249" s="25" t="s">
        <v>180</v>
      </c>
      <c r="D249" s="26" t="s">
        <v>125</v>
      </c>
      <c r="E249" s="18">
        <f>E248</f>
        <v>0.31315000000000004</v>
      </c>
      <c r="F249" s="18">
        <f>F248</f>
        <v>0.31315000000000004</v>
      </c>
      <c r="G249" s="16">
        <v>1</v>
      </c>
      <c r="H249" s="67"/>
      <c r="I249" s="67">
        <v>415.13</v>
      </c>
      <c r="J249" s="67">
        <f t="shared" si="30"/>
        <v>0</v>
      </c>
      <c r="K249" s="8">
        <f t="shared" si="31"/>
        <v>130</v>
      </c>
    </row>
    <row r="250" spans="1:21" ht="18" customHeight="1" x14ac:dyDescent="0.2">
      <c r="A250" s="19" t="s">
        <v>396</v>
      </c>
      <c r="B250" s="78" t="s">
        <v>7</v>
      </c>
      <c r="C250" s="20" t="s">
        <v>327</v>
      </c>
      <c r="D250" s="21"/>
      <c r="E250" s="56"/>
      <c r="F250" s="23"/>
      <c r="G250" s="21"/>
      <c r="H250" s="69"/>
      <c r="I250" s="68"/>
      <c r="J250" s="68">
        <f>J251</f>
        <v>0</v>
      </c>
      <c r="K250" s="7">
        <f>K251</f>
        <v>3242.92</v>
      </c>
    </row>
    <row r="251" spans="1:21" ht="16.5" customHeight="1" x14ac:dyDescent="0.2">
      <c r="A251" s="19" t="s">
        <v>397</v>
      </c>
      <c r="B251" s="78" t="s">
        <v>10</v>
      </c>
      <c r="C251" s="20" t="s">
        <v>325</v>
      </c>
      <c r="D251" s="21" t="s">
        <v>0</v>
      </c>
      <c r="E251" s="56"/>
      <c r="F251" s="36"/>
      <c r="G251" s="21"/>
      <c r="H251" s="69"/>
      <c r="I251" s="68"/>
      <c r="J251" s="68">
        <f>SUM(J252:J253)</f>
        <v>0</v>
      </c>
      <c r="K251" s="7">
        <f>SUM(K252:K253)</f>
        <v>3242.92</v>
      </c>
    </row>
    <row r="252" spans="1:21" ht="30" customHeight="1" x14ac:dyDescent="0.2">
      <c r="A252" s="24" t="s">
        <v>151</v>
      </c>
      <c r="B252" s="79" t="s">
        <v>78</v>
      </c>
      <c r="C252" s="25" t="s">
        <v>200</v>
      </c>
      <c r="D252" s="26" t="s">
        <v>193</v>
      </c>
      <c r="E252" s="30">
        <v>1</v>
      </c>
      <c r="F252" s="30">
        <v>1</v>
      </c>
      <c r="G252" s="16">
        <v>1</v>
      </c>
      <c r="H252" s="67"/>
      <c r="I252" s="67">
        <f>0.2*0.75*7500+793.39*0.5</f>
        <v>1521.6950000000002</v>
      </c>
      <c r="J252" s="67">
        <f>ROUND(E252*H252,2)</f>
        <v>0</v>
      </c>
      <c r="K252" s="8">
        <f>ROUND(F252*I252,2)</f>
        <v>1521.7</v>
      </c>
    </row>
    <row r="253" spans="1:21" ht="33" customHeight="1" x14ac:dyDescent="0.2">
      <c r="A253" s="24" t="s">
        <v>156</v>
      </c>
      <c r="B253" s="79" t="s">
        <v>78</v>
      </c>
      <c r="C253" s="25" t="s">
        <v>202</v>
      </c>
      <c r="D253" s="26" t="s">
        <v>193</v>
      </c>
      <c r="E253" s="30">
        <v>1</v>
      </c>
      <c r="F253" s="30">
        <v>1</v>
      </c>
      <c r="G253" s="16">
        <v>1</v>
      </c>
      <c r="H253" s="67"/>
      <c r="I253" s="67">
        <f>0.2*0.75*9000+396.69-25.47</f>
        <v>1721.2200000000003</v>
      </c>
      <c r="J253" s="67">
        <f>ROUND(E253*H253,2)</f>
        <v>0</v>
      </c>
      <c r="K253" s="8">
        <f>ROUND(F253*I253,2)</f>
        <v>1721.22</v>
      </c>
    </row>
    <row r="254" spans="1:21" ht="15" customHeight="1" x14ac:dyDescent="0.2">
      <c r="A254" s="83" t="s">
        <v>330</v>
      </c>
      <c r="B254" s="83"/>
      <c r="C254" s="83"/>
      <c r="D254" s="83"/>
      <c r="E254" s="83"/>
      <c r="F254" s="83"/>
      <c r="G254" s="83"/>
      <c r="H254" s="83"/>
      <c r="I254" s="83"/>
      <c r="J254" s="72">
        <f>J250+J207+J137</f>
        <v>0</v>
      </c>
      <c r="K254" s="9">
        <f>K250+K207+K137</f>
        <v>199308.13</v>
      </c>
      <c r="R254" s="49">
        <f>K254-T254</f>
        <v>-0.82000000000698492</v>
      </c>
      <c r="T254" s="38">
        <v>199308.95</v>
      </c>
    </row>
    <row r="255" spans="1:21" ht="12.75" customHeight="1" x14ac:dyDescent="0.2">
      <c r="A255" s="83" t="s">
        <v>331</v>
      </c>
      <c r="B255" s="83"/>
      <c r="C255" s="83"/>
      <c r="D255" s="83"/>
      <c r="E255" s="83"/>
      <c r="F255" s="83"/>
      <c r="G255" s="83"/>
      <c r="H255" s="83"/>
      <c r="I255" s="83"/>
      <c r="J255" s="72">
        <f>ROUND(J254*23%,2)</f>
        <v>0</v>
      </c>
      <c r="K255" s="9">
        <f>ROUND(K254*23%,2)</f>
        <v>45840.87</v>
      </c>
    </row>
    <row r="256" spans="1:21" ht="12.75" customHeight="1" x14ac:dyDescent="0.2">
      <c r="A256" s="83" t="s">
        <v>332</v>
      </c>
      <c r="B256" s="83"/>
      <c r="C256" s="83"/>
      <c r="D256" s="83"/>
      <c r="E256" s="83"/>
      <c r="F256" s="83"/>
      <c r="G256" s="83"/>
      <c r="H256" s="83"/>
      <c r="I256" s="83"/>
      <c r="J256" s="72">
        <f>J254+J255</f>
        <v>0</v>
      </c>
      <c r="K256" s="9">
        <f>K254+K255</f>
        <v>245149</v>
      </c>
      <c r="U256" s="3">
        <f>T254-J254</f>
        <v>199308.95</v>
      </c>
    </row>
    <row r="257" spans="1:20" x14ac:dyDescent="0.2">
      <c r="S257" s="49">
        <f>J254-T254</f>
        <v>-199308.95</v>
      </c>
    </row>
    <row r="258" spans="1:20" x14ac:dyDescent="0.2">
      <c r="S258" s="2">
        <f>S257/E191</f>
        <v>-1096.9122179416622</v>
      </c>
    </row>
    <row r="259" spans="1:20" ht="28.5" x14ac:dyDescent="0.45">
      <c r="A259" s="87" t="s">
        <v>408</v>
      </c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T259" s="38"/>
    </row>
    <row r="260" spans="1:20" ht="15.75" customHeight="1" x14ac:dyDescent="0.2">
      <c r="A260" s="89" t="s">
        <v>409</v>
      </c>
      <c r="B260" s="89"/>
      <c r="C260" s="89"/>
      <c r="D260" s="88" t="s">
        <v>330</v>
      </c>
      <c r="E260" s="88"/>
      <c r="F260" s="88"/>
      <c r="G260" s="88"/>
      <c r="H260" s="88"/>
      <c r="I260" s="88"/>
      <c r="J260" s="74">
        <f>J128</f>
        <v>0</v>
      </c>
      <c r="K260" s="43">
        <f>K128</f>
        <v>172421.24000000002</v>
      </c>
    </row>
    <row r="261" spans="1:20" ht="15.75" x14ac:dyDescent="0.2">
      <c r="A261" s="89"/>
      <c r="B261" s="89"/>
      <c r="C261" s="89"/>
      <c r="D261" s="88" t="s">
        <v>331</v>
      </c>
      <c r="E261" s="88"/>
      <c r="F261" s="88"/>
      <c r="G261" s="88"/>
      <c r="H261" s="88"/>
      <c r="I261" s="88"/>
      <c r="J261" s="74">
        <f>J129</f>
        <v>0</v>
      </c>
      <c r="K261" s="43">
        <f>K129</f>
        <v>39656.89</v>
      </c>
    </row>
    <row r="262" spans="1:20" ht="15.75" x14ac:dyDescent="0.2">
      <c r="A262" s="89"/>
      <c r="B262" s="89"/>
      <c r="C262" s="89"/>
      <c r="D262" s="91" t="s">
        <v>332</v>
      </c>
      <c r="E262" s="91"/>
      <c r="F262" s="91"/>
      <c r="G262" s="91"/>
      <c r="H262" s="91"/>
      <c r="I262" s="91"/>
      <c r="J262" s="74">
        <f>J260+J261</f>
        <v>0</v>
      </c>
      <c r="K262" s="43">
        <f>K260+K261</f>
        <v>212078.13</v>
      </c>
    </row>
    <row r="263" spans="1:20" ht="15.75" customHeight="1" x14ac:dyDescent="0.2">
      <c r="A263" s="94"/>
      <c r="B263" s="94"/>
      <c r="C263" s="94"/>
      <c r="D263" s="94"/>
      <c r="E263" s="94"/>
      <c r="F263" s="94"/>
      <c r="G263" s="94"/>
      <c r="H263" s="94"/>
      <c r="I263" s="94"/>
      <c r="J263" s="94"/>
      <c r="K263" s="94"/>
    </row>
    <row r="264" spans="1:20" ht="15.75" customHeight="1" x14ac:dyDescent="0.2">
      <c r="A264" s="90" t="s">
        <v>410</v>
      </c>
      <c r="B264" s="90"/>
      <c r="C264" s="90"/>
      <c r="D264" s="88" t="s">
        <v>330</v>
      </c>
      <c r="E264" s="88"/>
      <c r="F264" s="88"/>
      <c r="G264" s="88"/>
      <c r="H264" s="88"/>
      <c r="I264" s="88"/>
      <c r="J264" s="74">
        <f>J254</f>
        <v>0</v>
      </c>
      <c r="K264" s="43">
        <f>K254</f>
        <v>199308.13</v>
      </c>
      <c r="T264" s="37" t="s">
        <v>465</v>
      </c>
    </row>
    <row r="265" spans="1:20" ht="15.75" x14ac:dyDescent="0.2">
      <c r="A265" s="90"/>
      <c r="B265" s="90"/>
      <c r="C265" s="90"/>
      <c r="D265" s="88" t="s">
        <v>331</v>
      </c>
      <c r="E265" s="88"/>
      <c r="F265" s="88"/>
      <c r="G265" s="88"/>
      <c r="H265" s="88"/>
      <c r="I265" s="88"/>
      <c r="J265" s="74">
        <f>J255</f>
        <v>0</v>
      </c>
      <c r="K265" s="43">
        <f>K255</f>
        <v>45840.87</v>
      </c>
    </row>
    <row r="266" spans="1:20" ht="15.75" x14ac:dyDescent="0.2">
      <c r="A266" s="90"/>
      <c r="B266" s="90"/>
      <c r="C266" s="90"/>
      <c r="D266" s="91" t="s">
        <v>332</v>
      </c>
      <c r="E266" s="91"/>
      <c r="F266" s="91"/>
      <c r="G266" s="91"/>
      <c r="H266" s="91"/>
      <c r="I266" s="91"/>
      <c r="J266" s="74">
        <f>J264+J265</f>
        <v>0</v>
      </c>
      <c r="K266" s="43">
        <f>K264+K265</f>
        <v>245149</v>
      </c>
    </row>
    <row r="267" spans="1:20" ht="15.75" customHeight="1" x14ac:dyDescent="0.2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</row>
    <row r="268" spans="1:20" ht="15.75" x14ac:dyDescent="0.2">
      <c r="A268" s="92" t="s">
        <v>453</v>
      </c>
      <c r="B268" s="93"/>
      <c r="C268" s="93"/>
      <c r="D268" s="95" t="s">
        <v>330</v>
      </c>
      <c r="E268" s="95"/>
      <c r="F268" s="95"/>
      <c r="G268" s="95"/>
      <c r="H268" s="95"/>
      <c r="I268" s="95"/>
      <c r="J268" s="75">
        <f t="shared" ref="J268:K270" si="32">J260+J264</f>
        <v>0</v>
      </c>
      <c r="K268" s="48">
        <f t="shared" si="32"/>
        <v>371729.37</v>
      </c>
    </row>
    <row r="269" spans="1:20" ht="15.75" x14ac:dyDescent="0.2">
      <c r="A269" s="93"/>
      <c r="B269" s="93"/>
      <c r="C269" s="93"/>
      <c r="D269" s="95" t="s">
        <v>331</v>
      </c>
      <c r="E269" s="95"/>
      <c r="F269" s="95"/>
      <c r="G269" s="95"/>
      <c r="H269" s="95"/>
      <c r="I269" s="95"/>
      <c r="J269" s="75">
        <f t="shared" si="32"/>
        <v>0</v>
      </c>
      <c r="K269" s="48">
        <f t="shared" si="32"/>
        <v>85497.760000000009</v>
      </c>
    </row>
    <row r="270" spans="1:20" ht="15.75" x14ac:dyDescent="0.2">
      <c r="A270" s="93"/>
      <c r="B270" s="93"/>
      <c r="C270" s="93"/>
      <c r="D270" s="96" t="s">
        <v>332</v>
      </c>
      <c r="E270" s="96"/>
      <c r="F270" s="96"/>
      <c r="G270" s="96"/>
      <c r="H270" s="96"/>
      <c r="I270" s="96"/>
      <c r="J270" s="75">
        <f t="shared" si="32"/>
        <v>0</v>
      </c>
      <c r="K270" s="48">
        <f t="shared" si="32"/>
        <v>457227.13</v>
      </c>
    </row>
  </sheetData>
  <sheetProtection algorithmName="SHA-512" hashValue="EswxvhnZeYxvIZpfy7SUXhNtZsX1C+Vq60tUQDidOsRJlsrG6gAcc2ukW7FWwQO6SF5D289U4VlgzIIJBVuHYQ==" saltValue="1KG6jReOAOtWBDhq/ycYIg==" spinCount="100000" sheet="1" objects="1" scenarios="1"/>
  <mergeCells count="25">
    <mergeCell ref="A268:C270"/>
    <mergeCell ref="A263:K263"/>
    <mergeCell ref="A267:K267"/>
    <mergeCell ref="D268:I268"/>
    <mergeCell ref="D269:I269"/>
    <mergeCell ref="D266:I266"/>
    <mergeCell ref="D270:I270"/>
    <mergeCell ref="A259:K259"/>
    <mergeCell ref="D264:I264"/>
    <mergeCell ref="D265:I265"/>
    <mergeCell ref="D260:I260"/>
    <mergeCell ref="D261:I261"/>
    <mergeCell ref="A260:C262"/>
    <mergeCell ref="A264:C266"/>
    <mergeCell ref="D262:I262"/>
    <mergeCell ref="A254:I254"/>
    <mergeCell ref="A255:I255"/>
    <mergeCell ref="A256:I256"/>
    <mergeCell ref="A133:K133"/>
    <mergeCell ref="A134:K134"/>
    <mergeCell ref="A1:K1"/>
    <mergeCell ref="A2:K3"/>
    <mergeCell ref="A128:I128"/>
    <mergeCell ref="A129:I129"/>
    <mergeCell ref="A130:I130"/>
  </mergeCells>
  <phoneticPr fontId="12" type="noConversion"/>
  <pageMargins left="0.7" right="0.7" top="0.75" bottom="0.75" header="0.3" footer="0.3"/>
  <pageSetup paperSize="9" scale="73" fitToHeight="0" orientation="portrait" r:id="rId1"/>
  <rowBreaks count="2" manualBreakCount="2">
    <brk id="132" max="16383" man="1"/>
    <brk id="2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Przedmiar </vt:lpstr>
      <vt:lpstr>PRZEDMIAR_KOSZTORYS OFERTOWY</vt:lpstr>
      <vt:lpstr>'Przedmiar '!Obszar_wydruku</vt:lpstr>
      <vt:lpstr>'PRZEDMIAR_KOSZTORYS OFERTOWY'!Obszar_wydruku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 Chorągwicka-Batkiewicz</dc:creator>
  <cp:lastModifiedBy>Lucyna Chorągwicka-Batkiewicz</cp:lastModifiedBy>
  <cp:lastPrinted>2024-09-30T05:53:31Z</cp:lastPrinted>
  <dcterms:created xsi:type="dcterms:W3CDTF">2013-03-19T16:38:19Z</dcterms:created>
  <dcterms:modified xsi:type="dcterms:W3CDTF">2024-10-07T07:20:47Z</dcterms:modified>
</cp:coreProperties>
</file>